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hidePivotFieldList="1" defaultThemeVersion="124226"/>
  <mc:AlternateContent xmlns:mc="http://schemas.openxmlformats.org/markup-compatibility/2006">
    <mc:Choice Requires="x15">
      <x15ac:absPath xmlns:x15ac="http://schemas.microsoft.com/office/spreadsheetml/2010/11/ac" url="C:\Users\Andrea Gómez R\Downloads\"/>
    </mc:Choice>
  </mc:AlternateContent>
  <xr:revisionPtr revIDLastSave="0" documentId="13_ncr:1_{7A8A28B3-9B54-48C4-AACF-9090FF7EBE85}" xr6:coauthVersionLast="47" xr6:coauthVersionMax="47" xr10:uidLastSave="{00000000-0000-0000-0000-000000000000}"/>
  <bookViews>
    <workbookView xWindow="-120" yWindow="-120" windowWidth="20730" windowHeight="110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_FilterDatabase" localSheetId="1" hidden="1">'Mapa final'!$A$12:$AM$101</definedName>
  </definedNam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72" i="1" l="1"/>
  <c r="AF36" i="1"/>
  <c r="AF35" i="1"/>
  <c r="W34" i="1" l="1"/>
  <c r="AC20" i="1" l="1"/>
  <c r="W20" i="1"/>
  <c r="W101" i="1" l="1"/>
  <c r="T101" i="1"/>
  <c r="M101" i="1"/>
  <c r="W100" i="1"/>
  <c r="T100" i="1"/>
  <c r="J100" i="1"/>
  <c r="W99" i="1"/>
  <c r="T99" i="1"/>
  <c r="J99" i="1"/>
  <c r="W98" i="1"/>
  <c r="T98" i="1"/>
  <c r="J98" i="1"/>
  <c r="W97" i="1"/>
  <c r="T97" i="1"/>
  <c r="J97" i="1"/>
  <c r="W96" i="1"/>
  <c r="T96" i="1"/>
  <c r="J96" i="1"/>
  <c r="W95" i="1"/>
  <c r="T95" i="1"/>
  <c r="J95" i="1"/>
  <c r="W94" i="1"/>
  <c r="T94" i="1"/>
  <c r="M94" i="1"/>
  <c r="W93" i="1"/>
  <c r="T93" i="1"/>
  <c r="M93" i="1"/>
  <c r="W92" i="1"/>
  <c r="T92" i="1"/>
  <c r="J92" i="1"/>
  <c r="W91" i="1"/>
  <c r="T91" i="1"/>
  <c r="J91" i="1"/>
  <c r="W90" i="1"/>
  <c r="T90" i="1"/>
  <c r="J90" i="1"/>
  <c r="W89" i="1"/>
  <c r="T89" i="1"/>
  <c r="J89" i="1"/>
  <c r="W88" i="1"/>
  <c r="T88" i="1"/>
  <c r="J88" i="1"/>
  <c r="AE93" i="1" l="1"/>
  <c r="AD93" i="1" s="1"/>
  <c r="AA93" i="1"/>
  <c r="AE94" i="1"/>
  <c r="AD94" i="1" s="1"/>
  <c r="AA94" i="1"/>
  <c r="AE101" i="1"/>
  <c r="AD101" i="1" s="1"/>
  <c r="AA101" i="1"/>
  <c r="K100" i="1"/>
  <c r="AA100" i="1" s="1"/>
  <c r="AC100" i="1" s="1"/>
  <c r="K99" i="1"/>
  <c r="AA99" i="1" s="1"/>
  <c r="AC99" i="1" s="1"/>
  <c r="K98" i="1"/>
  <c r="AA98" i="1" s="1"/>
  <c r="AC98" i="1" s="1"/>
  <c r="K97" i="1"/>
  <c r="AA97" i="1" s="1"/>
  <c r="AB97" i="1" s="1"/>
  <c r="K96" i="1"/>
  <c r="AA96" i="1" s="1"/>
  <c r="AC96" i="1" s="1"/>
  <c r="K95" i="1"/>
  <c r="AA95" i="1" s="1"/>
  <c r="K92" i="1"/>
  <c r="AA92" i="1" s="1"/>
  <c r="AB92" i="1" s="1"/>
  <c r="K91" i="1"/>
  <c r="AA91" i="1" s="1"/>
  <c r="K90" i="1"/>
  <c r="AA90" i="1" s="1"/>
  <c r="AB90" i="1" s="1"/>
  <c r="K89" i="1"/>
  <c r="AA89" i="1" s="1"/>
  <c r="AB89" i="1" s="1"/>
  <c r="K88" i="1"/>
  <c r="AA88" i="1" s="1"/>
  <c r="AC88" i="1" s="1"/>
  <c r="AB101" i="1" l="1"/>
  <c r="AF101" i="1" s="1"/>
  <c r="AC101" i="1"/>
  <c r="AB94" i="1"/>
  <c r="AF94" i="1" s="1"/>
  <c r="AC94" i="1"/>
  <c r="AB93" i="1"/>
  <c r="AF93" i="1" s="1"/>
  <c r="AC93" i="1"/>
  <c r="AC97" i="1"/>
  <c r="AC95" i="1"/>
  <c r="AB95" i="1"/>
  <c r="AB91" i="1"/>
  <c r="AC91" i="1"/>
  <c r="AB98" i="1"/>
  <c r="AC92" i="1"/>
  <c r="AC90" i="1"/>
  <c r="AB100" i="1"/>
  <c r="AB99" i="1"/>
  <c r="AC89" i="1"/>
  <c r="AB88" i="1"/>
  <c r="AB96" i="1"/>
  <c r="W87" i="1" l="1"/>
  <c r="T87" i="1"/>
  <c r="J87" i="1"/>
  <c r="W86" i="1"/>
  <c r="T86" i="1"/>
  <c r="J86" i="1"/>
  <c r="K86" i="1" s="1"/>
  <c r="W85" i="1"/>
  <c r="T85" i="1"/>
  <c r="J85" i="1"/>
  <c r="W84" i="1"/>
  <c r="T84" i="1"/>
  <c r="M84" i="1"/>
  <c r="W83" i="1"/>
  <c r="T83" i="1"/>
  <c r="J83" i="1"/>
  <c r="W82" i="1"/>
  <c r="T82" i="1"/>
  <c r="J82" i="1"/>
  <c r="AE84" i="1" l="1"/>
  <c r="AD84" i="1" s="1"/>
  <c r="AA84" i="1"/>
  <c r="AA86" i="1"/>
  <c r="AB86" i="1" s="1"/>
  <c r="K87" i="1"/>
  <c r="AA87" i="1" s="1"/>
  <c r="AC87" i="1" s="1"/>
  <c r="K85" i="1"/>
  <c r="AA85" i="1" s="1"/>
  <c r="AB85" i="1" s="1"/>
  <c r="K83" i="1"/>
  <c r="AA83" i="1" s="1"/>
  <c r="AC83" i="1" s="1"/>
  <c r="K82" i="1"/>
  <c r="AA82" i="1" s="1"/>
  <c r="AC82" i="1" s="1"/>
  <c r="AB84" i="1" l="1"/>
  <c r="AF84" i="1" s="1"/>
  <c r="AC84" i="1"/>
  <c r="AC86" i="1"/>
  <c r="AB83" i="1"/>
  <c r="AB87" i="1"/>
  <c r="AB82" i="1"/>
  <c r="AC85" i="1"/>
  <c r="AC38" i="1" l="1"/>
  <c r="W38" i="1"/>
  <c r="W81" i="1"/>
  <c r="T81" i="1"/>
  <c r="J81" i="1"/>
  <c r="W80" i="1"/>
  <c r="T80" i="1"/>
  <c r="J80" i="1"/>
  <c r="W79" i="1"/>
  <c r="T79" i="1"/>
  <c r="J79" i="1"/>
  <c r="W78" i="1"/>
  <c r="T78" i="1"/>
  <c r="J78" i="1"/>
  <c r="W77" i="1"/>
  <c r="T77" i="1"/>
  <c r="J77" i="1"/>
  <c r="W76" i="1"/>
  <c r="T76" i="1"/>
  <c r="J76" i="1"/>
  <c r="W75" i="1"/>
  <c r="T75" i="1"/>
  <c r="J75" i="1"/>
  <c r="W74" i="1"/>
  <c r="T74" i="1"/>
  <c r="J74" i="1"/>
  <c r="W73" i="1"/>
  <c r="T73" i="1"/>
  <c r="M73" i="1"/>
  <c r="T72" i="1"/>
  <c r="J72" i="1"/>
  <c r="W71" i="1"/>
  <c r="T71" i="1"/>
  <c r="M71" i="1"/>
  <c r="W70" i="1"/>
  <c r="T70" i="1"/>
  <c r="J70" i="1"/>
  <c r="W69" i="1"/>
  <c r="T69" i="1"/>
  <c r="J69" i="1"/>
  <c r="W68" i="1"/>
  <c r="T68" i="1"/>
  <c r="AA68" i="1" s="1"/>
  <c r="AC68" i="1" s="1"/>
  <c r="M68" i="1"/>
  <c r="W67" i="1"/>
  <c r="T67" i="1"/>
  <c r="J67" i="1"/>
  <c r="K67" i="1" s="1"/>
  <c r="W66" i="1"/>
  <c r="T66" i="1"/>
  <c r="AA66" i="1" s="1"/>
  <c r="AC66" i="1" s="1"/>
  <c r="M66" i="1"/>
  <c r="W65" i="1"/>
  <c r="T65" i="1"/>
  <c r="J65" i="1"/>
  <c r="W64" i="1"/>
  <c r="T64" i="1"/>
  <c r="M64" i="1"/>
  <c r="W63" i="1"/>
  <c r="T63" i="1"/>
  <c r="J63" i="1"/>
  <c r="W62" i="1"/>
  <c r="T62" i="1"/>
  <c r="M62" i="1"/>
  <c r="W61" i="1"/>
  <c r="T61" i="1"/>
  <c r="M61" i="1"/>
  <c r="W60" i="1"/>
  <c r="T60" i="1"/>
  <c r="J60" i="1"/>
  <c r="W59" i="1"/>
  <c r="T59" i="1"/>
  <c r="AA59" i="1" s="1"/>
  <c r="AC59" i="1" s="1"/>
  <c r="M59" i="1"/>
  <c r="W58" i="1"/>
  <c r="T58" i="1"/>
  <c r="M58" i="1"/>
  <c r="W57" i="1"/>
  <c r="T57" i="1"/>
  <c r="J57" i="1"/>
  <c r="W56" i="1"/>
  <c r="T56" i="1"/>
  <c r="M56" i="1"/>
  <c r="W55" i="1"/>
  <c r="T55" i="1"/>
  <c r="M55" i="1"/>
  <c r="W54" i="1"/>
  <c r="T54" i="1"/>
  <c r="J54" i="1"/>
  <c r="W53" i="1"/>
  <c r="T53" i="1"/>
  <c r="J53" i="1"/>
  <c r="K53" i="1" s="1"/>
  <c r="AC52" i="1"/>
  <c r="W52" i="1"/>
  <c r="T52" i="1"/>
  <c r="AE52" i="1" s="1"/>
  <c r="AD52" i="1" s="1"/>
  <c r="AF52" i="1" s="1"/>
  <c r="M52" i="1"/>
  <c r="W51" i="1"/>
  <c r="T51" i="1"/>
  <c r="J51" i="1"/>
  <c r="M50" i="1"/>
  <c r="W49" i="1"/>
  <c r="T49" i="1"/>
  <c r="J49" i="1"/>
  <c r="M48" i="1"/>
  <c r="W47" i="1"/>
  <c r="T47" i="1"/>
  <c r="J47" i="1"/>
  <c r="W46" i="1"/>
  <c r="T46" i="1"/>
  <c r="J46" i="1"/>
  <c r="W45" i="1"/>
  <c r="T45" i="1"/>
  <c r="M45" i="1"/>
  <c r="W44" i="1"/>
  <c r="T44" i="1"/>
  <c r="M44" i="1"/>
  <c r="W43" i="1"/>
  <c r="T43" i="1"/>
  <c r="J43" i="1"/>
  <c r="W42" i="1"/>
  <c r="T42" i="1"/>
  <c r="AA42" i="1" s="1"/>
  <c r="AB42" i="1" s="1"/>
  <c r="M42" i="1"/>
  <c r="W41" i="1"/>
  <c r="T41" i="1"/>
  <c r="M41" i="1"/>
  <c r="W40" i="1"/>
  <c r="T40" i="1"/>
  <c r="J40" i="1"/>
  <c r="AC39" i="1"/>
  <c r="AC36" i="1"/>
  <c r="W39" i="1"/>
  <c r="T39" i="1"/>
  <c r="M39" i="1"/>
  <c r="T38" i="1"/>
  <c r="AE38" i="1" s="1"/>
  <c r="AD38" i="1" s="1"/>
  <c r="M38" i="1"/>
  <c r="W37" i="1"/>
  <c r="T37" i="1"/>
  <c r="J37" i="1"/>
  <c r="AC42" i="1" l="1"/>
  <c r="AE56" i="1"/>
  <c r="AD56" i="1" s="1"/>
  <c r="AF56" i="1" s="1"/>
  <c r="AA56" i="1"/>
  <c r="AC56" i="1" s="1"/>
  <c r="AE58" i="1"/>
  <c r="AD58" i="1" s="1"/>
  <c r="AF58" i="1" s="1"/>
  <c r="AA58" i="1"/>
  <c r="AC58" i="1" s="1"/>
  <c r="AE62" i="1"/>
  <c r="AD62" i="1" s="1"/>
  <c r="AF62" i="1" s="1"/>
  <c r="AA62" i="1"/>
  <c r="AC62" i="1" s="1"/>
  <c r="AE64" i="1"/>
  <c r="AD64" i="1" s="1"/>
  <c r="AF64" i="1" s="1"/>
  <c r="AA64" i="1"/>
  <c r="AC64" i="1" s="1"/>
  <c r="AE41" i="1"/>
  <c r="AD41" i="1" s="1"/>
  <c r="AA41" i="1"/>
  <c r="AE45" i="1"/>
  <c r="AD45" i="1" s="1"/>
  <c r="AF45" i="1" s="1"/>
  <c r="AA45" i="1"/>
  <c r="AC45" i="1" s="1"/>
  <c r="AE73" i="1"/>
  <c r="AD73" i="1" s="1"/>
  <c r="AF73" i="1" s="1"/>
  <c r="AA73" i="1"/>
  <c r="AC73" i="1" s="1"/>
  <c r="AE61" i="1"/>
  <c r="AD61" i="1" s="1"/>
  <c r="AF61" i="1" s="1"/>
  <c r="AA61" i="1"/>
  <c r="AC61" i="1" s="1"/>
  <c r="AE71" i="1"/>
  <c r="AD71" i="1" s="1"/>
  <c r="AF71" i="1" s="1"/>
  <c r="AA71" i="1"/>
  <c r="AC71" i="1" s="1"/>
  <c r="AE55" i="1"/>
  <c r="AD55" i="1" s="1"/>
  <c r="AF55" i="1" s="1"/>
  <c r="AA55" i="1"/>
  <c r="AC55" i="1" s="1"/>
  <c r="AE44" i="1"/>
  <c r="AD44" i="1" s="1"/>
  <c r="AF44" i="1" s="1"/>
  <c r="AA44" i="1"/>
  <c r="AC44" i="1" s="1"/>
  <c r="AE68" i="1"/>
  <c r="AD68" i="1" s="1"/>
  <c r="AF68" i="1" s="1"/>
  <c r="AE66" i="1"/>
  <c r="AD66" i="1" s="1"/>
  <c r="AF66" i="1" s="1"/>
  <c r="AE59" i="1"/>
  <c r="AD59" i="1" s="1"/>
  <c r="AF59" i="1" s="1"/>
  <c r="AE42" i="1"/>
  <c r="AD42" i="1" s="1"/>
  <c r="AF42" i="1" s="1"/>
  <c r="AA53" i="1"/>
  <c r="AB53" i="1" s="1"/>
  <c r="AA67" i="1"/>
  <c r="AB67" i="1" s="1"/>
  <c r="AE39" i="1"/>
  <c r="AD39" i="1" s="1"/>
  <c r="K81" i="1"/>
  <c r="AA81" i="1" s="1"/>
  <c r="AC81" i="1" s="1"/>
  <c r="K80" i="1"/>
  <c r="AA80" i="1" s="1"/>
  <c r="AC80" i="1" s="1"/>
  <c r="K79" i="1"/>
  <c r="AA79" i="1" s="1"/>
  <c r="AC79" i="1" s="1"/>
  <c r="K78" i="1"/>
  <c r="AA78" i="1" s="1"/>
  <c r="K77" i="1"/>
  <c r="AA77" i="1" s="1"/>
  <c r="AC77" i="1" s="1"/>
  <c r="K76" i="1"/>
  <c r="AA76" i="1" s="1"/>
  <c r="AC76" i="1" s="1"/>
  <c r="K75" i="1"/>
  <c r="AA75" i="1" s="1"/>
  <c r="K74" i="1"/>
  <c r="AA74" i="1" s="1"/>
  <c r="K72" i="1"/>
  <c r="K70" i="1"/>
  <c r="AA70" i="1" s="1"/>
  <c r="K69" i="1"/>
  <c r="AA69" i="1" s="1"/>
  <c r="AC69" i="1" s="1"/>
  <c r="K65" i="1"/>
  <c r="AA65" i="1" s="1"/>
  <c r="K63" i="1"/>
  <c r="AA63" i="1" s="1"/>
  <c r="AC63" i="1" s="1"/>
  <c r="K60" i="1"/>
  <c r="AA60" i="1" s="1"/>
  <c r="AC60" i="1" s="1"/>
  <c r="K57" i="1"/>
  <c r="AA57" i="1" s="1"/>
  <c r="AB57" i="1" s="1"/>
  <c r="K54" i="1"/>
  <c r="AA54" i="1" s="1"/>
  <c r="K51" i="1"/>
  <c r="AA51" i="1" s="1"/>
  <c r="AC51" i="1" s="1"/>
  <c r="K49" i="1"/>
  <c r="AA49" i="1" s="1"/>
  <c r="K47" i="1"/>
  <c r="AA47" i="1" s="1"/>
  <c r="AB47" i="1" s="1"/>
  <c r="K46" i="1"/>
  <c r="AA46" i="1" s="1"/>
  <c r="K43" i="1"/>
  <c r="AA43" i="1" s="1"/>
  <c r="K40" i="1"/>
  <c r="AA40" i="1" s="1"/>
  <c r="AB40" i="1" s="1"/>
  <c r="K37" i="1"/>
  <c r="AA37" i="1" s="1"/>
  <c r="AC37" i="1" s="1"/>
  <c r="W36" i="1"/>
  <c r="T36" i="1"/>
  <c r="AE36" i="1" s="1"/>
  <c r="AD36" i="1" s="1"/>
  <c r="M36" i="1"/>
  <c r="W35" i="1"/>
  <c r="T35" i="1"/>
  <c r="M35" i="1"/>
  <c r="T34" i="1"/>
  <c r="J34" i="1"/>
  <c r="K34" i="1" s="1"/>
  <c r="AE35" i="1" l="1"/>
  <c r="AD35" i="1" s="1"/>
  <c r="AA35" i="1"/>
  <c r="AC35" i="1" s="1"/>
  <c r="AC74" i="1"/>
  <c r="AB74" i="1"/>
  <c r="AB41" i="1"/>
  <c r="AF41" i="1" s="1"/>
  <c r="AC41" i="1"/>
  <c r="AA72" i="1"/>
  <c r="AC72" i="1" s="1"/>
  <c r="AC78" i="1"/>
  <c r="AB78" i="1"/>
  <c r="AC75" i="1"/>
  <c r="AB75" i="1"/>
  <c r="AB77" i="1"/>
  <c r="AC70" i="1"/>
  <c r="AB70" i="1"/>
  <c r="AB69" i="1"/>
  <c r="AB81" i="1"/>
  <c r="AC65" i="1"/>
  <c r="AB65" i="1"/>
  <c r="AB63" i="1"/>
  <c r="AC54" i="1"/>
  <c r="AB54" i="1"/>
  <c r="AB60" i="1"/>
  <c r="AB80" i="1"/>
  <c r="AC53" i="1"/>
  <c r="AB51" i="1"/>
  <c r="AB49" i="1"/>
  <c r="AC49" i="1"/>
  <c r="AC57" i="1"/>
  <c r="AB79" i="1"/>
  <c r="AC46" i="1"/>
  <c r="AB46" i="1"/>
  <c r="AC47" i="1"/>
  <c r="AC67" i="1"/>
  <c r="AC43" i="1"/>
  <c r="AB43" i="1"/>
  <c r="AA34" i="1"/>
  <c r="AC34" i="1" s="1"/>
  <c r="AB76" i="1"/>
  <c r="AC40" i="1"/>
  <c r="AB37" i="1"/>
  <c r="AB72" i="1" l="1"/>
  <c r="AB34" i="1"/>
  <c r="W33" i="1"/>
  <c r="T33" i="1"/>
  <c r="J33" i="1"/>
  <c r="K33" i="1" s="1"/>
  <c r="W32" i="1"/>
  <c r="T32" i="1"/>
  <c r="M32" i="1"/>
  <c r="W31" i="1"/>
  <c r="T31" i="1"/>
  <c r="J31" i="1"/>
  <c r="W30" i="1"/>
  <c r="T30" i="1"/>
  <c r="J30" i="1"/>
  <c r="AE32" i="1" l="1"/>
  <c r="AD32" i="1" s="1"/>
  <c r="AA32" i="1"/>
  <c r="AC32" i="1" s="1"/>
  <c r="AA33" i="1"/>
  <c r="K31" i="1"/>
  <c r="AA31" i="1" s="1"/>
  <c r="K30" i="1"/>
  <c r="AA30" i="1" s="1"/>
  <c r="AC33" i="1" l="1"/>
  <c r="AB33" i="1"/>
  <c r="AB31" i="1"/>
  <c r="AC31" i="1"/>
  <c r="AC30" i="1"/>
  <c r="AB30" i="1"/>
  <c r="W29" i="1" l="1"/>
  <c r="W28" i="1"/>
  <c r="W26" i="1"/>
  <c r="W25" i="1"/>
  <c r="W16" i="1" l="1"/>
  <c r="J13" i="1" l="1"/>
  <c r="T15" i="1" l="1"/>
  <c r="T14" i="1"/>
  <c r="T29" i="1"/>
  <c r="T28" i="1"/>
  <c r="T27" i="1"/>
  <c r="T26" i="1"/>
  <c r="T25" i="1"/>
  <c r="T24" i="1"/>
  <c r="T23" i="1"/>
  <c r="T22" i="1"/>
  <c r="T21" i="1"/>
  <c r="T20" i="1"/>
  <c r="AE20" i="1" s="1"/>
  <c r="AD20" i="1" s="1"/>
  <c r="T19" i="1"/>
  <c r="T18" i="1"/>
  <c r="T17" i="1"/>
  <c r="T16" i="1"/>
  <c r="M29" i="1"/>
  <c r="M28" i="1"/>
  <c r="W27" i="1"/>
  <c r="J27" i="1"/>
  <c r="M26" i="1"/>
  <c r="M25" i="1"/>
  <c r="W24" i="1"/>
  <c r="J24" i="1"/>
  <c r="K24" i="1" s="1"/>
  <c r="W23" i="1"/>
  <c r="J23" i="1"/>
  <c r="W22" i="1"/>
  <c r="J22" i="1"/>
  <c r="K22" i="1" s="1"/>
  <c r="W21" i="1"/>
  <c r="J21" i="1"/>
  <c r="K21" i="1" s="1"/>
  <c r="M20" i="1"/>
  <c r="W19" i="1"/>
  <c r="J19" i="1"/>
  <c r="K19" i="1" s="1"/>
  <c r="W18" i="1"/>
  <c r="J18" i="1"/>
  <c r="K18" i="1" s="1"/>
  <c r="W17" i="1"/>
  <c r="J17" i="1"/>
  <c r="K17" i="1" s="1"/>
  <c r="J16" i="1"/>
  <c r="AA17" i="1" l="1"/>
  <c r="AB17" i="1" s="1"/>
  <c r="AE25" i="1"/>
  <c r="AD25" i="1" s="1"/>
  <c r="AA25" i="1"/>
  <c r="AA18" i="1"/>
  <c r="AC18" i="1" s="1"/>
  <c r="AE26" i="1"/>
  <c r="AD26" i="1" s="1"/>
  <c r="AA26" i="1"/>
  <c r="AA19" i="1"/>
  <c r="AB19" i="1" s="1"/>
  <c r="AE28" i="1"/>
  <c r="AD28" i="1" s="1"/>
  <c r="AA28" i="1"/>
  <c r="AE29" i="1"/>
  <c r="AD29" i="1" s="1"/>
  <c r="AA29" i="1"/>
  <c r="AA24" i="1"/>
  <c r="AB24" i="1" s="1"/>
  <c r="AA22" i="1"/>
  <c r="AC22" i="1" s="1"/>
  <c r="AA21" i="1"/>
  <c r="AC21" i="1" s="1"/>
  <c r="K27" i="1"/>
  <c r="AA27" i="1" s="1"/>
  <c r="K23" i="1"/>
  <c r="AA23" i="1" s="1"/>
  <c r="AB23" i="1" s="1"/>
  <c r="K16" i="1"/>
  <c r="W15" i="1"/>
  <c r="AA15" i="1" s="1"/>
  <c r="AE14" i="1"/>
  <c r="AD14" i="1" s="1"/>
  <c r="W14" i="1"/>
  <c r="AA14" i="1" s="1"/>
  <c r="K6" i="19"/>
  <c r="J6" i="19"/>
  <c r="AB26" i="1" l="1"/>
  <c r="AF26" i="1" s="1"/>
  <c r="AC26" i="1"/>
  <c r="AB29" i="1"/>
  <c r="AF29" i="1" s="1"/>
  <c r="AC29" i="1"/>
  <c r="AB25" i="1"/>
  <c r="AF25" i="1" s="1"/>
  <c r="AC25" i="1"/>
  <c r="AB28" i="1"/>
  <c r="AF28" i="1" s="1"/>
  <c r="AC28" i="1"/>
  <c r="AA16" i="1"/>
  <c r="AB16" i="1" s="1"/>
  <c r="AC27" i="1"/>
  <c r="AB27" i="1"/>
  <c r="AC24" i="1"/>
  <c r="AC23" i="1"/>
  <c r="AC17" i="1"/>
  <c r="AC19" i="1"/>
  <c r="AB22" i="1"/>
  <c r="AB21" i="1"/>
  <c r="AB18" i="1"/>
  <c r="AB15" i="1"/>
  <c r="AC15" i="1"/>
  <c r="AE15" i="1"/>
  <c r="AD15" i="1" s="1"/>
  <c r="AC16" i="1" l="1"/>
  <c r="O11" i="19"/>
  <c r="O15" i="19"/>
  <c r="O8" i="19"/>
  <c r="O12" i="19"/>
  <c r="O9" i="19"/>
  <c r="O10" i="19"/>
  <c r="O14" i="19"/>
  <c r="O13" i="19"/>
  <c r="O7" i="19"/>
  <c r="N11" i="19"/>
  <c r="N8" i="19"/>
  <c r="N12" i="19"/>
  <c r="N7" i="19"/>
  <c r="N15" i="19"/>
  <c r="N14" i="19"/>
  <c r="N9" i="19"/>
  <c r="N13" i="19"/>
  <c r="N10" i="19"/>
  <c r="AF15" i="1"/>
  <c r="O6" i="19"/>
  <c r="N6" i="19"/>
  <c r="AB14" i="1"/>
  <c r="AF14" i="1" s="1"/>
  <c r="AC14" i="1"/>
  <c r="M15" i="1" l="1"/>
  <c r="W13" i="1" l="1"/>
  <c r="T13" i="1"/>
  <c r="K13" i="1"/>
  <c r="F221" i="13" l="1"/>
  <c r="F211" i="13"/>
  <c r="F212" i="13"/>
  <c r="F213" i="13"/>
  <c r="F214" i="13"/>
  <c r="F215" i="13"/>
  <c r="F216" i="13"/>
  <c r="F217" i="13"/>
  <c r="F218" i="13"/>
  <c r="F219" i="13"/>
  <c r="F220" i="13"/>
  <c r="F210" i="13"/>
  <c r="B221" i="13" a="1"/>
  <c r="M14"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T52" i="19" l="1"/>
  <c r="AF32" i="19"/>
  <c r="N22" i="19"/>
  <c r="AL32" i="19"/>
  <c r="N52" i="19"/>
  <c r="AL12" i="19"/>
  <c r="AL52" i="19"/>
  <c r="AL42" i="19"/>
  <c r="T32" i="19"/>
  <c r="AF12" i="19"/>
  <c r="N32" i="19"/>
  <c r="T42" i="19"/>
  <c r="Z52" i="19"/>
  <c r="Z42" i="19"/>
  <c r="AL22" i="19"/>
  <c r="T12" i="19"/>
  <c r="T22" i="19"/>
  <c r="Z32" i="19"/>
  <c r="AF52" i="19"/>
  <c r="N42" i="19"/>
  <c r="Z22" i="19"/>
  <c r="AF42" i="19"/>
  <c r="Z12" i="19"/>
  <c r="AF22" i="19"/>
  <c r="AM42" i="19"/>
  <c r="U32" i="19"/>
  <c r="AG12" i="19"/>
  <c r="U42" i="19"/>
  <c r="U22" i="19"/>
  <c r="AM52" i="19"/>
  <c r="AA42" i="19"/>
  <c r="AM22" i="19"/>
  <c r="U12" i="19"/>
  <c r="AA32" i="19"/>
  <c r="AG42" i="19"/>
  <c r="AA12" i="19"/>
  <c r="AG52" i="19"/>
  <c r="O42" i="19"/>
  <c r="AA22" i="19"/>
  <c r="AA52" i="19"/>
  <c r="AG22" i="19"/>
  <c r="AM32" i="19"/>
  <c r="U52" i="19"/>
  <c r="AG32" i="19"/>
  <c r="O22" i="19"/>
  <c r="O52" i="19"/>
  <c r="AM12" i="19"/>
  <c r="O32" i="19"/>
  <c r="AA13" i="1" l="1"/>
  <c r="AB13" i="1" s="1"/>
  <c r="AC13" i="1" l="1"/>
  <c r="L6" i="19" l="1"/>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AF51" i="19"/>
  <c r="N41" i="19"/>
  <c r="Z51" i="19"/>
  <c r="AL21" i="19"/>
  <c r="T41" i="19"/>
  <c r="AF41" i="19"/>
  <c r="AE46" i="19"/>
  <c r="M36" i="19"/>
  <c r="Y16" i="19"/>
  <c r="AK46" i="19"/>
  <c r="S36" i="19"/>
  <c r="AE16" i="19"/>
  <c r="AK16" i="19"/>
  <c r="M26" i="19"/>
  <c r="S46" i="19"/>
  <c r="AE26" i="19"/>
  <c r="M16" i="19"/>
  <c r="Y46" i="19"/>
  <c r="AK26" i="19"/>
  <c r="S16" i="19"/>
  <c r="Y6" i="19"/>
  <c r="AK36" i="19"/>
  <c r="S26" i="19"/>
  <c r="AE6" i="19"/>
  <c r="M46" i="19"/>
  <c r="Y26" i="19"/>
  <c r="AK6" i="19"/>
  <c r="Y36" i="19"/>
  <c r="S6" i="19"/>
  <c r="AE36"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AE44" i="19"/>
  <c r="S34" i="19"/>
  <c r="AE24" i="19"/>
  <c r="S14" i="19"/>
  <c r="AK17" i="19"/>
  <c r="S27" i="19"/>
  <c r="S37" i="19"/>
  <c r="AE27" i="19"/>
  <c r="Y47" i="19"/>
  <c r="S7" i="19"/>
  <c r="M17" i="19"/>
  <c r="AE17" i="19"/>
  <c r="AK27" i="19"/>
  <c r="Y7" i="19"/>
  <c r="Y37" i="19"/>
  <c r="AE37" i="19"/>
  <c r="Y27" i="19"/>
  <c r="M47" i="19"/>
  <c r="AE47" i="19"/>
  <c r="Y17" i="19"/>
  <c r="AE7" i="19"/>
  <c r="M27" i="19"/>
  <c r="S47" i="19"/>
  <c r="M37" i="19"/>
  <c r="S17" i="19"/>
  <c r="AK7" i="19"/>
  <c r="AK47" i="19"/>
  <c r="AK37" i="19"/>
  <c r="M48" i="19"/>
  <c r="S48" i="19"/>
  <c r="AE8" i="19"/>
  <c r="AE38" i="19"/>
  <c r="M38" i="19"/>
  <c r="AE18" i="19"/>
  <c r="AK48" i="19"/>
  <c r="AK18" i="19"/>
  <c r="AK28" i="19"/>
  <c r="S28" i="19"/>
  <c r="Y4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AG15" i="19"/>
  <c r="U15" i="19"/>
  <c r="AG55" i="19"/>
  <c r="U55" i="19"/>
  <c r="AE40" i="19"/>
  <c r="Y30" i="19"/>
  <c r="M20" i="19"/>
  <c r="Y20" i="19"/>
  <c r="M4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T49" i="19"/>
  <c r="T19" i="19"/>
  <c r="AL49" i="19"/>
  <c r="T29" i="19"/>
  <c r="AF29" i="19"/>
  <c r="T18" i="19"/>
  <c r="N4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Y29" i="19"/>
  <c r="AM46" i="19"/>
  <c r="U36" i="19"/>
  <c r="AG16" i="19"/>
  <c r="AA36" i="19"/>
  <c r="AM16" i="19"/>
  <c r="U6" i="19"/>
  <c r="AG46" i="19"/>
  <c r="AA16" i="19"/>
  <c r="AA6" i="19"/>
  <c r="AG6" i="19"/>
  <c r="AA46" i="19"/>
  <c r="AM26" i="19"/>
  <c r="U16" i="19"/>
  <c r="O36" i="19"/>
  <c r="U26" i="19"/>
  <c r="O46" i="19"/>
  <c r="AA26" i="19"/>
  <c r="AM6" i="19"/>
  <c r="U46" i="19"/>
  <c r="AG26" i="19"/>
  <c r="O16" i="19"/>
  <c r="AG36" i="19"/>
  <c r="O26" i="19"/>
  <c r="AM36"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16" i="19"/>
  <c r="AL16" i="19"/>
  <c r="T16" i="19"/>
  <c r="AG24" i="19" l="1"/>
  <c r="O44" i="19"/>
  <c r="O24" i="19"/>
  <c r="AM14" i="19"/>
  <c r="AG34" i="19"/>
  <c r="O34" i="19"/>
  <c r="AA4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AG37" i="19"/>
  <c r="AG47" i="19"/>
  <c r="U7" i="19"/>
  <c r="AM47" i="19"/>
  <c r="U27" i="19"/>
  <c r="O37" i="19"/>
  <c r="O17" i="19"/>
  <c r="AA7" i="19"/>
  <c r="AA47" i="19"/>
  <c r="O27" i="19"/>
  <c r="U37" i="19"/>
  <c r="AM17" i="19"/>
  <c r="AM37" i="19"/>
  <c r="AG27" i="19"/>
  <c r="AM7" i="19"/>
  <c r="AG7" i="19"/>
  <c r="AA1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Z50" i="19"/>
  <c r="AL50" i="19"/>
  <c r="N40" i="19"/>
  <c r="T30" i="19"/>
  <c r="Z30" i="19"/>
  <c r="AL10" i="19"/>
  <c r="N20" i="19"/>
  <c r="B223" i="13"/>
  <c r="B222" i="13"/>
  <c r="M99" i="1" l="1"/>
  <c r="N99" i="1" s="1"/>
  <c r="M100" i="1"/>
  <c r="N100" i="1" s="1"/>
  <c r="M70" i="1"/>
  <c r="N70" i="1" s="1"/>
  <c r="M67" i="1"/>
  <c r="N67" i="1" s="1"/>
  <c r="M69" i="1"/>
  <c r="N69" i="1" s="1"/>
  <c r="M54" i="1"/>
  <c r="N54" i="1" s="1"/>
  <c r="M97" i="1"/>
  <c r="N97" i="1" s="1"/>
  <c r="M89" i="1"/>
  <c r="N89" i="1" s="1"/>
  <c r="M49" i="1"/>
  <c r="N49" i="1" s="1"/>
  <c r="M53" i="1"/>
  <c r="N53" i="1" s="1"/>
  <c r="M47" i="1"/>
  <c r="N47" i="1" s="1"/>
  <c r="M34" i="1"/>
  <c r="N34" i="1" s="1"/>
  <c r="M95" i="1"/>
  <c r="N95" i="1" s="1"/>
  <c r="M91" i="1"/>
  <c r="N91" i="1" s="1"/>
  <c r="M37" i="1"/>
  <c r="N37" i="1" s="1"/>
  <c r="M43" i="1"/>
  <c r="N43" i="1" s="1"/>
  <c r="M57" i="1"/>
  <c r="N57" i="1" s="1"/>
  <c r="M30" i="1"/>
  <c r="N30" i="1" s="1"/>
  <c r="M90" i="1"/>
  <c r="N90" i="1" s="1"/>
  <c r="M87" i="1"/>
  <c r="N87" i="1" s="1"/>
  <c r="M63" i="1"/>
  <c r="N63" i="1" s="1"/>
  <c r="M46" i="1"/>
  <c r="N46" i="1" s="1"/>
  <c r="M40" i="1"/>
  <c r="N40" i="1" s="1"/>
  <c r="M31" i="1"/>
  <c r="N31" i="1" s="1"/>
  <c r="M96" i="1"/>
  <c r="N96" i="1" s="1"/>
  <c r="M82" i="1"/>
  <c r="N82" i="1" s="1"/>
  <c r="M72" i="1"/>
  <c r="N72" i="1" s="1"/>
  <c r="M80" i="1"/>
  <c r="N80" i="1" s="1"/>
  <c r="M81" i="1"/>
  <c r="N81" i="1" s="1"/>
  <c r="M33" i="1"/>
  <c r="N33" i="1" s="1"/>
  <c r="M92" i="1"/>
  <c r="N92" i="1" s="1"/>
  <c r="M86" i="1"/>
  <c r="N86" i="1" s="1"/>
  <c r="M65" i="1"/>
  <c r="N65" i="1" s="1"/>
  <c r="M74" i="1"/>
  <c r="N74" i="1" s="1"/>
  <c r="M79" i="1"/>
  <c r="N79" i="1" s="1"/>
  <c r="M88" i="1"/>
  <c r="N88" i="1" s="1"/>
  <c r="M85" i="1"/>
  <c r="N85" i="1" s="1"/>
  <c r="M78" i="1"/>
  <c r="N78" i="1" s="1"/>
  <c r="M60" i="1"/>
  <c r="N60" i="1" s="1"/>
  <c r="M77" i="1"/>
  <c r="N77" i="1" s="1"/>
  <c r="M98" i="1"/>
  <c r="N98" i="1" s="1"/>
  <c r="M83" i="1"/>
  <c r="N83" i="1" s="1"/>
  <c r="M76" i="1"/>
  <c r="N76" i="1" s="1"/>
  <c r="M51" i="1"/>
  <c r="N51" i="1" s="1"/>
  <c r="M75" i="1"/>
  <c r="N75" i="1" s="1"/>
  <c r="M17" i="1"/>
  <c r="N17" i="1" s="1"/>
  <c r="H210" i="13"/>
  <c r="M13" i="1"/>
  <c r="N13" i="1" s="1"/>
  <c r="M27" i="1"/>
  <c r="N27" i="1" s="1"/>
  <c r="M23" i="1"/>
  <c r="N23" i="1" s="1"/>
  <c r="O23" i="1" s="1"/>
  <c r="AE23" i="1" s="1"/>
  <c r="AD23" i="1" s="1"/>
  <c r="AF23" i="1" s="1"/>
  <c r="M24" i="1"/>
  <c r="N24" i="1" s="1"/>
  <c r="M21" i="1"/>
  <c r="N21" i="1" s="1"/>
  <c r="P21" i="1" s="1"/>
  <c r="M22" i="1"/>
  <c r="N22" i="1" s="1"/>
  <c r="M18" i="1"/>
  <c r="N18" i="1" s="1"/>
  <c r="M19" i="1"/>
  <c r="N19" i="1" s="1"/>
  <c r="M16" i="1"/>
  <c r="N16" i="1" s="1"/>
  <c r="O16" i="1" s="1"/>
  <c r="AE16" i="1" s="1"/>
  <c r="AD16" i="1" s="1"/>
  <c r="AF16" i="1" s="1"/>
  <c r="O77" i="1" l="1"/>
  <c r="AE77" i="1" s="1"/>
  <c r="AD77" i="1" s="1"/>
  <c r="AF77" i="1" s="1"/>
  <c r="P77" i="1"/>
  <c r="O86" i="1"/>
  <c r="AE86" i="1" s="1"/>
  <c r="AD86" i="1" s="1"/>
  <c r="AF86" i="1" s="1"/>
  <c r="P86" i="1"/>
  <c r="O31" i="1"/>
  <c r="AE31" i="1" s="1"/>
  <c r="AD31" i="1" s="1"/>
  <c r="AF31" i="1" s="1"/>
  <c r="P31" i="1"/>
  <c r="O43" i="1"/>
  <c r="AE43" i="1" s="1"/>
  <c r="AD43" i="1" s="1"/>
  <c r="AF43" i="1" s="1"/>
  <c r="P43" i="1"/>
  <c r="O89" i="1"/>
  <c r="AE89" i="1" s="1"/>
  <c r="AD89" i="1" s="1"/>
  <c r="AF89" i="1" s="1"/>
  <c r="P89" i="1"/>
  <c r="O92" i="1"/>
  <c r="AE92" i="1" s="1"/>
  <c r="AD92" i="1" s="1"/>
  <c r="AF92" i="1" s="1"/>
  <c r="P92" i="1"/>
  <c r="O40" i="1"/>
  <c r="AE40" i="1" s="1"/>
  <c r="AD40" i="1" s="1"/>
  <c r="AF40" i="1" s="1"/>
  <c r="P40" i="1"/>
  <c r="O37" i="1"/>
  <c r="AE37" i="1" s="1"/>
  <c r="AD37" i="1" s="1"/>
  <c r="AF37" i="1" s="1"/>
  <c r="P37" i="1"/>
  <c r="O97" i="1"/>
  <c r="AE97" i="1" s="1"/>
  <c r="AD97" i="1" s="1"/>
  <c r="AF97" i="1" s="1"/>
  <c r="P97" i="1"/>
  <c r="O76" i="1"/>
  <c r="AE76" i="1" s="1"/>
  <c r="AD76" i="1" s="1"/>
  <c r="AF76" i="1" s="1"/>
  <c r="P76" i="1"/>
  <c r="O78" i="1"/>
  <c r="AE78" i="1" s="1"/>
  <c r="AD78" i="1" s="1"/>
  <c r="AF78" i="1" s="1"/>
  <c r="P78" i="1"/>
  <c r="O33" i="1"/>
  <c r="AE33" i="1" s="1"/>
  <c r="AD33" i="1" s="1"/>
  <c r="AF33" i="1" s="1"/>
  <c r="P33" i="1"/>
  <c r="O46" i="1"/>
  <c r="AE46" i="1" s="1"/>
  <c r="AD46" i="1" s="1"/>
  <c r="AF46" i="1" s="1"/>
  <c r="P46" i="1"/>
  <c r="O91" i="1"/>
  <c r="AE91" i="1" s="1"/>
  <c r="AD91" i="1" s="1"/>
  <c r="AF91" i="1" s="1"/>
  <c r="P91" i="1"/>
  <c r="O54" i="1"/>
  <c r="AE54" i="1" s="1"/>
  <c r="AD54" i="1" s="1"/>
  <c r="AF54" i="1" s="1"/>
  <c r="P54" i="1"/>
  <c r="O60" i="1"/>
  <c r="AE60" i="1" s="1"/>
  <c r="AD60" i="1" s="1"/>
  <c r="AF60" i="1" s="1"/>
  <c r="P60" i="1"/>
  <c r="O75" i="1"/>
  <c r="AE75" i="1" s="1"/>
  <c r="AD75" i="1" s="1"/>
  <c r="AF75" i="1" s="1"/>
  <c r="P75" i="1"/>
  <c r="O85" i="1"/>
  <c r="AE85" i="1" s="1"/>
  <c r="AD85" i="1" s="1"/>
  <c r="AF85" i="1" s="1"/>
  <c r="P85" i="1"/>
  <c r="O81" i="1"/>
  <c r="AE81" i="1" s="1"/>
  <c r="AD81" i="1" s="1"/>
  <c r="AF81" i="1" s="1"/>
  <c r="P81" i="1"/>
  <c r="O63" i="1"/>
  <c r="AE63" i="1" s="1"/>
  <c r="AD63" i="1" s="1"/>
  <c r="AF63" i="1" s="1"/>
  <c r="P63" i="1"/>
  <c r="O95" i="1"/>
  <c r="AE95" i="1" s="1"/>
  <c r="AD95" i="1" s="1"/>
  <c r="AF95" i="1" s="1"/>
  <c r="P95" i="1"/>
  <c r="O69" i="1"/>
  <c r="AE69" i="1" s="1"/>
  <c r="AD69" i="1" s="1"/>
  <c r="AF69" i="1" s="1"/>
  <c r="P69" i="1"/>
  <c r="O51" i="1"/>
  <c r="AE51" i="1" s="1"/>
  <c r="AD51" i="1" s="1"/>
  <c r="AF51" i="1" s="1"/>
  <c r="P51" i="1"/>
  <c r="O88" i="1"/>
  <c r="AE88" i="1" s="1"/>
  <c r="AD88" i="1" s="1"/>
  <c r="AF88" i="1" s="1"/>
  <c r="P88" i="1"/>
  <c r="O80" i="1"/>
  <c r="AE80" i="1" s="1"/>
  <c r="AD80" i="1" s="1"/>
  <c r="AF80" i="1" s="1"/>
  <c r="P80" i="1"/>
  <c r="O87" i="1"/>
  <c r="AE87" i="1" s="1"/>
  <c r="AD87" i="1" s="1"/>
  <c r="AF87" i="1" s="1"/>
  <c r="P87" i="1"/>
  <c r="O34" i="1"/>
  <c r="AE34" i="1" s="1"/>
  <c r="AD34" i="1" s="1"/>
  <c r="AF34" i="1" s="1"/>
  <c r="P34" i="1"/>
  <c r="O67" i="1"/>
  <c r="AE67" i="1" s="1"/>
  <c r="AD67" i="1" s="1"/>
  <c r="AF67" i="1" s="1"/>
  <c r="P67" i="1"/>
  <c r="O79" i="1"/>
  <c r="AE79" i="1" s="1"/>
  <c r="AD79" i="1" s="1"/>
  <c r="AF79" i="1" s="1"/>
  <c r="P79" i="1"/>
  <c r="O72" i="1"/>
  <c r="AE72" i="1" s="1"/>
  <c r="AD72" i="1" s="1"/>
  <c r="AF72" i="1" s="1"/>
  <c r="P72" i="1"/>
  <c r="O90" i="1"/>
  <c r="AE90" i="1" s="1"/>
  <c r="AD90" i="1" s="1"/>
  <c r="AF90" i="1" s="1"/>
  <c r="P90" i="1"/>
  <c r="O47" i="1"/>
  <c r="AE47" i="1" s="1"/>
  <c r="AD47" i="1" s="1"/>
  <c r="AF47" i="1" s="1"/>
  <c r="P47" i="1"/>
  <c r="O70" i="1"/>
  <c r="AE70" i="1" s="1"/>
  <c r="AD70" i="1" s="1"/>
  <c r="AF70" i="1" s="1"/>
  <c r="P70" i="1"/>
  <c r="O83" i="1"/>
  <c r="AE83" i="1" s="1"/>
  <c r="AD83" i="1" s="1"/>
  <c r="AF83" i="1" s="1"/>
  <c r="P83" i="1"/>
  <c r="O74" i="1"/>
  <c r="AE74" i="1" s="1"/>
  <c r="AD74" i="1" s="1"/>
  <c r="AF74" i="1" s="1"/>
  <c r="P74" i="1"/>
  <c r="O82" i="1"/>
  <c r="AE82" i="1" s="1"/>
  <c r="AD82" i="1" s="1"/>
  <c r="AF82" i="1" s="1"/>
  <c r="P82" i="1"/>
  <c r="O30" i="1"/>
  <c r="AE30" i="1" s="1"/>
  <c r="AD30" i="1" s="1"/>
  <c r="AF30" i="1" s="1"/>
  <c r="P30" i="1"/>
  <c r="O53" i="1"/>
  <c r="AE53" i="1" s="1"/>
  <c r="AD53" i="1" s="1"/>
  <c r="AF53" i="1" s="1"/>
  <c r="P53" i="1"/>
  <c r="O100" i="1"/>
  <c r="AE100" i="1" s="1"/>
  <c r="AD100" i="1" s="1"/>
  <c r="AF100" i="1" s="1"/>
  <c r="P100" i="1"/>
  <c r="O98" i="1"/>
  <c r="AE98" i="1" s="1"/>
  <c r="AD98" i="1" s="1"/>
  <c r="AF98" i="1" s="1"/>
  <c r="P98" i="1"/>
  <c r="O65" i="1"/>
  <c r="AE65" i="1" s="1"/>
  <c r="AD65" i="1" s="1"/>
  <c r="AF65" i="1" s="1"/>
  <c r="P65" i="1"/>
  <c r="O96" i="1"/>
  <c r="AE96" i="1" s="1"/>
  <c r="AD96" i="1" s="1"/>
  <c r="AF96" i="1" s="1"/>
  <c r="P96" i="1"/>
  <c r="O57" i="1"/>
  <c r="AE57" i="1" s="1"/>
  <c r="AD57" i="1" s="1"/>
  <c r="AF57" i="1" s="1"/>
  <c r="P57" i="1"/>
  <c r="O49" i="1"/>
  <c r="AE49" i="1" s="1"/>
  <c r="AD49" i="1" s="1"/>
  <c r="AF49" i="1" s="1"/>
  <c r="P49" i="1"/>
  <c r="O99" i="1"/>
  <c r="AE99" i="1" s="1"/>
  <c r="AD99" i="1" s="1"/>
  <c r="AF99" i="1" s="1"/>
  <c r="P99" i="1"/>
  <c r="P18" i="1"/>
  <c r="O18" i="1"/>
  <c r="AE18" i="1" s="1"/>
  <c r="AD18" i="1" s="1"/>
  <c r="AF18" i="1" s="1"/>
  <c r="O27" i="1"/>
  <c r="AE27" i="1" s="1"/>
  <c r="AD27" i="1" s="1"/>
  <c r="AF27" i="1" s="1"/>
  <c r="P27" i="1"/>
  <c r="P23" i="1"/>
  <c r="P24" i="1"/>
  <c r="O24" i="1"/>
  <c r="AE24" i="1" s="1"/>
  <c r="AD24" i="1" s="1"/>
  <c r="AF24" i="1" s="1"/>
  <c r="O21" i="1"/>
  <c r="AE21" i="1" s="1"/>
  <c r="AD21" i="1" s="1"/>
  <c r="AF21" i="1" s="1"/>
  <c r="P22" i="1"/>
  <c r="O22" i="1"/>
  <c r="AE22" i="1" s="1"/>
  <c r="AD22" i="1" s="1"/>
  <c r="AF22" i="1" s="1"/>
  <c r="O19" i="1"/>
  <c r="AE19" i="1" s="1"/>
  <c r="AD19" i="1" s="1"/>
  <c r="AF19" i="1" s="1"/>
  <c r="P19" i="1"/>
  <c r="P17" i="1"/>
  <c r="O17" i="1"/>
  <c r="AE17" i="1" s="1"/>
  <c r="AD17" i="1" s="1"/>
  <c r="AF17" i="1" s="1"/>
  <c r="P16" i="1"/>
  <c r="AH12" i="18"/>
  <c r="J20" i="18"/>
  <c r="J44" i="18"/>
  <c r="AB28" i="18"/>
  <c r="P28" i="18"/>
  <c r="P12" i="18"/>
  <c r="AB44" i="18"/>
  <c r="AH36" i="18"/>
  <c r="AH20" i="18"/>
  <c r="P44" i="18"/>
  <c r="AB12" i="18"/>
  <c r="P36" i="18"/>
  <c r="V44" i="18"/>
  <c r="J36" i="18"/>
  <c r="V12" i="18"/>
  <c r="V28" i="18"/>
  <c r="AH44" i="18"/>
  <c r="AB20" i="18"/>
  <c r="P20" i="18"/>
  <c r="J12" i="18"/>
  <c r="AH28" i="18"/>
  <c r="V36" i="18"/>
  <c r="V20" i="18"/>
  <c r="J28" i="18"/>
  <c r="AB36" i="18"/>
  <c r="X6" i="18"/>
  <c r="AJ30" i="18"/>
  <c r="R22" i="18"/>
  <c r="R38" i="18"/>
  <c r="L6" i="18"/>
  <c r="R30" i="18"/>
  <c r="X22" i="18"/>
  <c r="L30" i="18"/>
  <c r="R14" i="18"/>
  <c r="X14" i="18"/>
  <c r="AD38" i="18"/>
  <c r="AD22" i="18"/>
  <c r="AJ14" i="18"/>
  <c r="L22" i="18"/>
  <c r="AD30" i="18"/>
  <c r="AJ38" i="18"/>
  <c r="AJ22" i="18"/>
  <c r="X30" i="18"/>
  <c r="X38" i="18"/>
  <c r="R6" i="18"/>
  <c r="AJ6" i="18"/>
  <c r="L38" i="18"/>
  <c r="AD14" i="18"/>
  <c r="L14" i="18"/>
  <c r="AD6" i="18"/>
  <c r="L16" i="18"/>
  <c r="R24" i="18"/>
  <c r="L8" i="18"/>
  <c r="AJ24" i="18"/>
  <c r="R32" i="18"/>
  <c r="AJ16" i="18"/>
  <c r="R8" i="18"/>
  <c r="L32" i="18"/>
  <c r="X8" i="18"/>
  <c r="AJ8" i="18"/>
  <c r="AJ32" i="18"/>
  <c r="AD8" i="18"/>
  <c r="X40" i="18"/>
  <c r="R40" i="18"/>
  <c r="L40" i="18"/>
  <c r="X16" i="18"/>
  <c r="AD32" i="18"/>
  <c r="L24" i="18"/>
  <c r="X32" i="18"/>
  <c r="AJ40" i="18"/>
  <c r="R16" i="18"/>
  <c r="AD40" i="18"/>
  <c r="AD24" i="18"/>
  <c r="X24" i="18"/>
  <c r="AD16" i="18"/>
  <c r="Z42" i="18"/>
  <c r="T18" i="18"/>
  <c r="AF34" i="18"/>
  <c r="AF42" i="18"/>
  <c r="N10" i="18"/>
  <c r="T34" i="18"/>
  <c r="N42" i="18"/>
  <c r="Z18" i="18"/>
  <c r="AL10" i="18"/>
  <c r="AL26" i="18"/>
  <c r="AL18" i="18"/>
  <c r="Z34" i="18"/>
  <c r="AF26" i="18"/>
  <c r="Z10" i="18"/>
  <c r="N18" i="18"/>
  <c r="T26" i="18"/>
  <c r="N26" i="18"/>
  <c r="T42" i="18"/>
  <c r="AF18" i="18"/>
  <c r="Z26" i="18"/>
  <c r="AL34" i="18"/>
  <c r="N34" i="18"/>
  <c r="T10" i="18"/>
  <c r="AL42" i="18"/>
  <c r="AF10" i="18"/>
  <c r="J42" i="18"/>
  <c r="P34" i="18"/>
  <c r="AB18" i="18"/>
  <c r="J34" i="18"/>
  <c r="AH34" i="18"/>
  <c r="P10" i="18"/>
  <c r="V34" i="18"/>
  <c r="P42" i="18"/>
  <c r="AH18" i="18"/>
  <c r="AB34" i="18"/>
  <c r="AH42" i="18"/>
  <c r="AB26" i="18"/>
  <c r="AH26" i="18"/>
  <c r="V26" i="18"/>
  <c r="J10" i="18"/>
  <c r="AB42" i="18"/>
  <c r="V10" i="18"/>
  <c r="AB10" i="18"/>
  <c r="J18" i="18"/>
  <c r="P26" i="18"/>
  <c r="J26" i="18"/>
  <c r="AH10" i="18"/>
  <c r="P18" i="18"/>
  <c r="V18" i="18"/>
  <c r="V42" i="18"/>
  <c r="X42" i="18"/>
  <c r="AD34" i="18"/>
  <c r="AD10" i="18"/>
  <c r="L42" i="18"/>
  <c r="L26" i="18"/>
  <c r="X18" i="18"/>
  <c r="AJ34" i="18"/>
  <c r="R18" i="18"/>
  <c r="AJ10" i="18"/>
  <c r="AD42" i="18"/>
  <c r="R26" i="18"/>
  <c r="L18" i="18"/>
  <c r="R34" i="18"/>
  <c r="L34" i="18"/>
  <c r="AJ42" i="18"/>
  <c r="R10" i="18"/>
  <c r="AJ26" i="18"/>
  <c r="AD26" i="18"/>
  <c r="AD18" i="18"/>
  <c r="L10" i="18"/>
  <c r="R42" i="18"/>
  <c r="X26" i="18"/>
  <c r="AJ18" i="18"/>
  <c r="X34" i="18"/>
  <c r="X10" i="18"/>
  <c r="T14" i="18"/>
  <c r="AL38" i="18"/>
  <c r="N14" i="18"/>
  <c r="T6" i="18"/>
  <c r="T38" i="18"/>
  <c r="T22" i="18"/>
  <c r="AL14" i="18"/>
  <c r="N22" i="18"/>
  <c r="N38" i="18"/>
  <c r="AL22" i="18"/>
  <c r="AF22" i="18"/>
  <c r="N6" i="18"/>
  <c r="AF6" i="18"/>
  <c r="AF38" i="18"/>
  <c r="AL30" i="18"/>
  <c r="N30" i="18"/>
  <c r="AF30" i="18"/>
  <c r="Z22" i="18"/>
  <c r="T30" i="18"/>
  <c r="Z30" i="18"/>
  <c r="AL6" i="18"/>
  <c r="Z14" i="18"/>
  <c r="Z38" i="18"/>
  <c r="Z6" i="18"/>
  <c r="AF14" i="18"/>
  <c r="J40" i="18"/>
  <c r="AB40" i="18"/>
  <c r="AH32" i="18"/>
  <c r="AB24" i="18"/>
  <c r="J16" i="18"/>
  <c r="P32" i="18"/>
  <c r="V24" i="18"/>
  <c r="P24" i="18"/>
  <c r="AH24" i="18"/>
  <c r="V40" i="18"/>
  <c r="P16" i="18"/>
  <c r="P40" i="18"/>
  <c r="V32" i="18"/>
  <c r="V8" i="18"/>
  <c r="AH8" i="18"/>
  <c r="AB16" i="18"/>
  <c r="J8" i="18"/>
  <c r="AB32" i="18"/>
  <c r="AB8" i="18"/>
  <c r="AH16" i="18"/>
  <c r="J24" i="18"/>
  <c r="J32" i="18"/>
  <c r="P8" i="18"/>
  <c r="V16" i="18"/>
  <c r="AH40" i="18"/>
  <c r="P14" i="18"/>
  <c r="V22" i="18"/>
  <c r="V14" i="18"/>
  <c r="J22" i="18"/>
  <c r="AH14" i="18"/>
  <c r="AH38" i="18"/>
  <c r="J14" i="18"/>
  <c r="P38" i="18"/>
  <c r="P13" i="1"/>
  <c r="AB22" i="18"/>
  <c r="V30" i="18"/>
  <c r="AB14" i="18"/>
  <c r="J30" i="18"/>
  <c r="AB6" i="18"/>
  <c r="V38" i="18"/>
  <c r="J38" i="18"/>
  <c r="AH6" i="18"/>
  <c r="V6" i="18"/>
  <c r="P22" i="18"/>
  <c r="O13" i="1"/>
  <c r="AE13" i="1" s="1"/>
  <c r="J6" i="18"/>
  <c r="P30" i="18"/>
  <c r="AH22" i="18"/>
  <c r="P6" i="18"/>
  <c r="AB38" i="18"/>
  <c r="AB30" i="18"/>
  <c r="AH30" i="18"/>
  <c r="AF24" i="18"/>
  <c r="AF32" i="18"/>
  <c r="T40" i="18"/>
  <c r="Z40" i="18"/>
  <c r="AL8" i="18"/>
  <c r="AF8" i="18"/>
  <c r="Z32" i="18"/>
  <c r="N16" i="18"/>
  <c r="AF16" i="18"/>
  <c r="N8" i="18"/>
  <c r="Z16" i="18"/>
  <c r="T24" i="18"/>
  <c r="AL24" i="18"/>
  <c r="N32" i="18"/>
  <c r="Z8" i="18"/>
  <c r="N24" i="18"/>
  <c r="T32" i="18"/>
  <c r="T16" i="18"/>
  <c r="AF40" i="18"/>
  <c r="AL40" i="18"/>
  <c r="AL32" i="18"/>
  <c r="N40" i="18"/>
  <c r="Z24" i="18"/>
  <c r="AL16" i="18"/>
  <c r="T8" i="18"/>
  <c r="M7" i="19" l="1"/>
  <c r="M10" i="19"/>
  <c r="M8" i="19"/>
  <c r="M12" i="19"/>
  <c r="M11" i="19"/>
  <c r="M15" i="19"/>
  <c r="M13" i="19"/>
  <c r="M14" i="19"/>
  <c r="M9" i="19"/>
  <c r="AB53" i="19"/>
  <c r="P53" i="19"/>
  <c r="AH53" i="19"/>
  <c r="V33" i="19"/>
  <c r="V43" i="19"/>
  <c r="P23" i="19"/>
  <c r="AB33" i="19"/>
  <c r="P13" i="19"/>
  <c r="J13" i="19"/>
  <c r="AB13" i="19"/>
  <c r="V13" i="19"/>
  <c r="J43" i="19"/>
  <c r="P33" i="19"/>
  <c r="AH23" i="19"/>
  <c r="V23" i="19"/>
  <c r="J33" i="19"/>
  <c r="J23" i="19"/>
  <c r="J53" i="19"/>
  <c r="V53" i="19"/>
  <c r="AB43" i="19"/>
  <c r="AH43" i="19"/>
  <c r="AH33" i="19"/>
  <c r="P43" i="19"/>
  <c r="AH13" i="19"/>
  <c r="AB23" i="19"/>
  <c r="AB52" i="19"/>
  <c r="AB12" i="19"/>
  <c r="AH52" i="19"/>
  <c r="J22" i="19"/>
  <c r="AH32" i="19"/>
  <c r="AH22" i="19"/>
  <c r="V22" i="19"/>
  <c r="AB32" i="19"/>
  <c r="P22" i="19"/>
  <c r="J52" i="19"/>
  <c r="AB42" i="19"/>
  <c r="P12" i="19"/>
  <c r="V32" i="19"/>
  <c r="AH12" i="19"/>
  <c r="V42" i="19"/>
  <c r="P52" i="19"/>
  <c r="P42" i="19"/>
  <c r="J42" i="19"/>
  <c r="V12" i="19"/>
  <c r="J12" i="19"/>
  <c r="AH42" i="19"/>
  <c r="V52" i="19"/>
  <c r="J32" i="19"/>
  <c r="P32" i="19"/>
  <c r="AB22" i="19"/>
  <c r="J40" i="19"/>
  <c r="J50" i="19"/>
  <c r="J10" i="19"/>
  <c r="AB30" i="19"/>
  <c r="V30" i="19"/>
  <c r="AB40" i="19"/>
  <c r="AB20" i="19"/>
  <c r="AH20" i="19"/>
  <c r="P30" i="19"/>
  <c r="AH50" i="19"/>
  <c r="J30" i="19"/>
  <c r="V50" i="19"/>
  <c r="V10" i="19"/>
  <c r="V20" i="19"/>
  <c r="P50" i="19"/>
  <c r="P20" i="19"/>
  <c r="AH10" i="19"/>
  <c r="AB10" i="19"/>
  <c r="J20" i="19"/>
  <c r="P10" i="19"/>
  <c r="AH30" i="19"/>
  <c r="P40" i="19"/>
  <c r="AB50" i="19"/>
  <c r="AH40" i="19"/>
  <c r="V40" i="19"/>
  <c r="P41" i="19"/>
  <c r="AB11" i="19"/>
  <c r="J41" i="19"/>
  <c r="J11" i="19"/>
  <c r="J21" i="19"/>
  <c r="P51" i="19"/>
  <c r="P11" i="19"/>
  <c r="V11" i="19"/>
  <c r="AB31" i="19"/>
  <c r="V21" i="19"/>
  <c r="AB21" i="19"/>
  <c r="AB51" i="19"/>
  <c r="AH31" i="19"/>
  <c r="P31" i="19"/>
  <c r="P21" i="19"/>
  <c r="V51" i="19"/>
  <c r="J31" i="19"/>
  <c r="V41" i="19"/>
  <c r="J51" i="19"/>
  <c r="AB41" i="19"/>
  <c r="V31" i="19"/>
  <c r="AH51" i="19"/>
  <c r="AH41" i="19"/>
  <c r="AH21" i="19"/>
  <c r="AH11" i="19"/>
  <c r="AB9" i="19"/>
  <c r="AB49" i="19"/>
  <c r="AH19" i="19"/>
  <c r="V39" i="19"/>
  <c r="AB29" i="19"/>
  <c r="AH29" i="19"/>
  <c r="V9" i="19"/>
  <c r="P49" i="19"/>
  <c r="AB19" i="19"/>
  <c r="J39" i="19"/>
  <c r="AH9" i="19"/>
  <c r="J49" i="19"/>
  <c r="J9" i="19"/>
  <c r="AB39" i="19"/>
  <c r="J29" i="19"/>
  <c r="P19" i="19"/>
  <c r="AH49" i="19"/>
  <c r="J19" i="19"/>
  <c r="V49" i="19"/>
  <c r="P39" i="19"/>
  <c r="V29" i="19"/>
  <c r="AH39" i="19"/>
  <c r="P9" i="19"/>
  <c r="P29" i="19"/>
  <c r="V19" i="19"/>
  <c r="AB54" i="19"/>
  <c r="V34" i="19"/>
  <c r="J34" i="19"/>
  <c r="AH54" i="19"/>
  <c r="AB44" i="19"/>
  <c r="P24" i="19"/>
  <c r="V14" i="19"/>
  <c r="AB34" i="19"/>
  <c r="J44" i="19"/>
  <c r="J54" i="19"/>
  <c r="P14" i="19"/>
  <c r="J24" i="19"/>
  <c r="P54" i="19"/>
  <c r="AH44" i="19"/>
  <c r="V24" i="19"/>
  <c r="P44" i="19"/>
  <c r="AH14" i="19"/>
  <c r="V54" i="19"/>
  <c r="AB24" i="19"/>
  <c r="AB14" i="19"/>
  <c r="J14" i="19"/>
  <c r="V44" i="19"/>
  <c r="AH34" i="19"/>
  <c r="AH24" i="19"/>
  <c r="P34" i="19"/>
  <c r="M6" i="19"/>
  <c r="P38" i="19"/>
  <c r="P48" i="19"/>
  <c r="J8" i="19"/>
  <c r="AB48" i="19"/>
  <c r="AH48" i="19"/>
  <c r="V18" i="19"/>
  <c r="AH38" i="19"/>
  <c r="AB18" i="19"/>
  <c r="J18" i="19"/>
  <c r="V8" i="19"/>
  <c r="J38" i="19"/>
  <c r="AB38" i="19"/>
  <c r="AH8" i="19"/>
  <c r="AH18" i="19"/>
  <c r="P8" i="19"/>
  <c r="P18" i="19"/>
  <c r="J48" i="19"/>
  <c r="AB8" i="19"/>
  <c r="J28" i="19"/>
  <c r="P28" i="19"/>
  <c r="V38" i="19"/>
  <c r="AB28" i="19"/>
  <c r="AH28" i="19"/>
  <c r="V48" i="19"/>
  <c r="V28" i="19"/>
  <c r="W37" i="19"/>
  <c r="W17" i="19"/>
  <c r="Q47" i="19"/>
  <c r="AI17" i="19"/>
  <c r="AI47" i="19"/>
  <c r="AC27" i="19"/>
  <c r="AC37" i="19"/>
  <c r="K37" i="19"/>
  <c r="W47" i="19"/>
  <c r="AI27" i="19"/>
  <c r="K27" i="19"/>
  <c r="K7" i="19"/>
  <c r="AI7" i="19"/>
  <c r="W27" i="19"/>
  <c r="W7" i="19"/>
  <c r="K47" i="19"/>
  <c r="Q27" i="19"/>
  <c r="AC47" i="19"/>
  <c r="AI37" i="19"/>
  <c r="AC17" i="19"/>
  <c r="AC7" i="19"/>
  <c r="Q37" i="19"/>
  <c r="Q7" i="19"/>
  <c r="K17" i="19"/>
  <c r="Q17" i="19"/>
  <c r="J47" i="19"/>
  <c r="AH7" i="19"/>
  <c r="AB27" i="19"/>
  <c r="V47" i="19"/>
  <c r="J27" i="19"/>
  <c r="AH37" i="19"/>
  <c r="AB7" i="19"/>
  <c r="V17" i="19"/>
  <c r="P37" i="19"/>
  <c r="J7" i="19"/>
  <c r="AH17" i="19"/>
  <c r="AH27" i="19"/>
  <c r="V27" i="19"/>
  <c r="P47" i="19"/>
  <c r="J17" i="19"/>
  <c r="J37" i="19"/>
  <c r="AB37" i="19"/>
  <c r="V7" i="19"/>
  <c r="P27" i="19"/>
  <c r="P17" i="19"/>
  <c r="AH47" i="19"/>
  <c r="AB17" i="19"/>
  <c r="V37" i="19"/>
  <c r="P7" i="19"/>
  <c r="AB47" i="19"/>
  <c r="AD13" i="1"/>
  <c r="V25" i="19"/>
  <c r="V45" i="19"/>
  <c r="J15" i="19"/>
  <c r="AB45" i="19"/>
  <c r="J45" i="19"/>
  <c r="AH25" i="19"/>
  <c r="AH55" i="19"/>
  <c r="AB15" i="19"/>
  <c r="P15" i="19"/>
  <c r="P45" i="19"/>
  <c r="V15" i="19"/>
  <c r="J35" i="19"/>
  <c r="AH35" i="19"/>
  <c r="AH45" i="19"/>
  <c r="J25" i="19"/>
  <c r="AB35" i="19"/>
  <c r="AB25" i="19"/>
  <c r="P35" i="19"/>
  <c r="V55" i="19"/>
  <c r="AH15" i="19"/>
  <c r="V35" i="19"/>
  <c r="J55" i="19"/>
  <c r="AB55" i="19"/>
  <c r="P25" i="19"/>
  <c r="P55" i="19"/>
  <c r="W36" i="19" l="1"/>
  <c r="AC36" i="19"/>
  <c r="K16" i="19"/>
  <c r="K46" i="19"/>
  <c r="AI46" i="19"/>
  <c r="AC46" i="19"/>
  <c r="W26" i="19"/>
  <c r="Q46" i="19"/>
  <c r="AC26" i="19"/>
  <c r="AC16" i="19"/>
  <c r="AI6" i="19"/>
  <c r="Q36" i="19"/>
  <c r="W16" i="19"/>
  <c r="K36" i="19"/>
  <c r="Q26" i="19"/>
  <c r="AI16" i="19"/>
  <c r="W6" i="19"/>
  <c r="W46" i="19"/>
  <c r="AI36" i="19"/>
  <c r="AC6" i="19"/>
  <c r="Q6" i="19"/>
  <c r="Q16" i="19"/>
  <c r="K26" i="19"/>
  <c r="AI26" i="19"/>
  <c r="P16" i="19"/>
  <c r="P6" i="19"/>
  <c r="AH6" i="19"/>
  <c r="AB6" i="19"/>
  <c r="V6" i="19"/>
  <c r="V46" i="19"/>
  <c r="AH46" i="19"/>
  <c r="AB46" i="19"/>
  <c r="AB36" i="19"/>
  <c r="P36" i="19"/>
  <c r="J36" i="19"/>
  <c r="AH16" i="19"/>
  <c r="J46" i="19"/>
  <c r="P46" i="19"/>
  <c r="AB26" i="19"/>
  <c r="AB16" i="19"/>
  <c r="AH26" i="19"/>
  <c r="J16" i="19"/>
  <c r="V26" i="19"/>
  <c r="AH36" i="19"/>
  <c r="P26" i="19"/>
  <c r="V16" i="19"/>
  <c r="V36" i="19"/>
  <c r="AF13" i="1"/>
  <c r="J26" i="19"/>
</calcChain>
</file>

<file path=xl/sharedStrings.xml><?xml version="1.0" encoding="utf-8"?>
<sst xmlns="http://schemas.openxmlformats.org/spreadsheetml/2006/main" count="1426" uniqueCount="548">
  <si>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</si>
  <si>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</si>
  <si>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</si>
  <si>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</si>
  <si>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</si>
  <si>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</si>
  <si>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</si>
  <si>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</si>
  <si>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</si>
  <si>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</si>
  <si>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</si>
  <si>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</si>
  <si>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</si>
  <si>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</si>
  <si>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</si>
  <si>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</si>
  <si>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</si>
  <si>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</si>
  <si>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</si>
  <si>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</si>
  <si>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</si>
  <si>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</si>
  <si>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</si>
  <si>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</si>
  <si>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</si>
  <si>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</si>
  <si>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</si>
  <si>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</si>
  <si>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</si>
  <si>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</si>
  <si>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</si>
  <si>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</si>
  <si>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</si>
  <si>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</si>
  <si>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</si>
  <si>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</si>
  <si>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</si>
  <si>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</si>
  <si>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</si>
  <si>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</si>
  <si>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</si>
  <si>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</si>
  <si>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</si>
  <si>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</si>
  <si>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</si>
  <si>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</si>
  <si>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</si>
  <si>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</si>
  <si>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</si>
  <si>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</si>
  <si>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</si>
  <si>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</si>
  <si>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</si>
  <si>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</si>
  <si>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</si>
  <si>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</si>
  <si>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</si>
  <si>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</si>
  <si>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</si>
  <si>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</si>
  <si>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</si>
  <si>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</si>
  <si>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</si>
  <si>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</si>
  <si>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</si>
  <si>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</si>
  <si>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</si>
  <si>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</si>
  <si>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</si>
  <si>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</si>
  <si>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</si>
  <si>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</si>
  <si>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</si>
  <si>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</si>
  <si>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</si>
  <si>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</si>
  <si>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</si>
  <si>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</si>
  <si>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</si>
  <si>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</si>
  <si>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</si>
  <si>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</si>
  <si>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</si>
  <si>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</si>
  <si>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</si>
  <si>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</si>
  <si>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</si>
  <si>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</si>
  <si>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</si>
  <si>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</si>
  <si>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</si>
  <si>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</si>
  <si>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</si>
  <si>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</si>
  <si>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</si>
  <si>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</si>
  <si>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</si>
  <si>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</si>
  <si>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</si>
  <si>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</si>
  <si>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</si>
  <si>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</si>
  <si>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</si>
  <si>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</si>
  <si>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</si>
  <si>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</si>
  <si>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</si>
  <si>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</si>
  <si>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</si>
  <si>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</si>
  <si>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</si>
  <si>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</si>
  <si>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</si>
  <si>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</si>
  <si>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</si>
  <si>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</si>
  <si>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</si>
  <si>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</si>
  <si>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</si>
  <si>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</si>
  <si>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</si>
  <si>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</si>
  <si>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</si>
  <si>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</si>
  <si>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</si>
  <si>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</si>
  <si>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</si>
  <si>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</si>
  <si>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</si>
  <si>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</si>
  <si>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</si>
  <si>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</si>
  <si>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</si>
  <si>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</si>
  <si>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</si>
  <si>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</si>
  <si>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</si>
  <si>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</si>
  <si>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</si>
  <si>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</si>
  <si>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</si>
  <si>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</si>
  <si>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</si>
  <si>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</si>
  <si>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</si>
  <si>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</si>
  <si>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</si>
  <si>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</si>
  <si>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</si>
  <si>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</si>
  <si>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</si>
  <si>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</si>
  <si>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</si>
  <si>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</si>
  <si>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</si>
  <si>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</si>
  <si>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</si>
  <si>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</si>
  <si>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</si>
  <si>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</si>
  <si>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</si>
  <si>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</si>
  <si>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</si>
  <si>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</si>
  <si>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</si>
  <si>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</si>
  <si>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</si>
  <si>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</si>
  <si>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</si>
  <si>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</si>
  <si>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</si>
  <si>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</si>
  <si>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</si>
  <si>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</si>
  <si>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</si>
  <si>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</si>
  <si>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</si>
  <si>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</si>
  <si>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</si>
  <si>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</si>
  <si>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</si>
  <si>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</si>
  <si>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</si>
  <si>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</si>
  <si>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</si>
  <si>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</si>
  <si>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</si>
  <si>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</si>
  <si>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</si>
  <si>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</si>
  <si>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</si>
  <si>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</si>
  <si>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</si>
  <si>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</si>
  <si>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</si>
  <si>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</si>
  <si>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</si>
  <si>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</si>
  <si>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</si>
  <si>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</si>
  <si>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</si>
  <si>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</si>
  <si>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</si>
  <si>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</si>
  <si>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</si>
  <si>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</si>
  <si>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</si>
  <si>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</si>
  <si>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</si>
  <si>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</si>
  <si>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</si>
  <si>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PLANEACIÓN ESTRATEGICA</t>
  </si>
  <si>
    <t>MATRIZ DE RIESGOS</t>
  </si>
  <si>
    <t>CÓDIGO</t>
  </si>
  <si>
    <t>VERSIÓN</t>
  </si>
  <si>
    <t>FECHA</t>
  </si>
  <si>
    <t>PÁGINA</t>
  </si>
  <si>
    <t>|</t>
  </si>
  <si>
    <t>SISTEMA DE GESTIÓN DE CALIDAD
INSTITUTO MUNICIPAL DE DEPORTES Y RECREACIÓN DE CAJICÁ</t>
  </si>
  <si>
    <t>Todos lo procesos</t>
  </si>
  <si>
    <t>Identificar y cuantificar los riesgos para lograr una gestión que permita disminuir la probabilidad y el impacto de eventos adversos que afecten el desarrollo de los objetivos del Instituto Municipal de Deporte y Recreación de Cajicá.</t>
  </si>
  <si>
    <t>Inicia con la Identificación, descripción y efectos de los riesgos presentes en la entidad mediante su calificación y valoración, que afectan la misionalidad de Insdeportes y finaliza con nueva valoración, controles y responsables su seguimiento y/o ejecución.</t>
  </si>
  <si>
    <t>Accidentes de trabajo</t>
  </si>
  <si>
    <t>Factores humanos, propios del trabajo y/o externos como fenómenos naturales u ocasionados por un tercero</t>
  </si>
  <si>
    <t>Posibilidad de ocurrencia de un accidente de trabajo o el desarrollo de una enfermedad de origen laboral.</t>
  </si>
  <si>
    <t>Implementación del SG-SST.
Implementación del PESV.</t>
  </si>
  <si>
    <t>Sistema de gestión de seguridad y salud en el trabajo</t>
  </si>
  <si>
    <t>Eliminación de información o daño físico en dispositivos de almacenamiento</t>
  </si>
  <si>
    <t>Debido a manipulación inadecuada de los datos y/o falta de seguimiento a las alertas de las unidades físicas</t>
  </si>
  <si>
    <t>Posibilidad de afectación económica y reputacional por eliminación de información o daño físico de dispositivos de almacenamiento, debido a la manipulación inadecuada de los datos y/o falta de seguimiento a las alertas de las unidades físicas.</t>
  </si>
  <si>
    <t>Gestión de Recursos Tecnológicos</t>
  </si>
  <si>
    <t>El contratista de gestión de recursos tecnológicos programa la ejecución de backups diarios y de manera manera remota se confirma semanalmente el estado óptimo de funcionamiento del servidor y la ejecución de los backups</t>
  </si>
  <si>
    <t>Ataques informáticos y Sabotajes</t>
  </si>
  <si>
    <t>Debido a fallas de seguridad en el perímetro digital.</t>
  </si>
  <si>
    <t>Posibilidad de afectación económica y reputacional por ataques informáticos y sabotajes, debido a fallas de seguridad en el perímetro digital.</t>
  </si>
  <si>
    <t>Instalación y mantenimiento de Firewall, actualizaciones de seguridad y verificación humana permanente.</t>
  </si>
  <si>
    <t>Daños y fallas del Software y del sistema físico</t>
  </si>
  <si>
    <t>Debido a problemas externos o fallas en la fabricación del componente.</t>
  </si>
  <si>
    <t>Gestión de Recursos Tecnológico</t>
  </si>
  <si>
    <t>Mantenimiento preventivo de los componentes de Hardware y Software.</t>
  </si>
  <si>
    <t>Posibilidad de afectación económica y reputacional por daños y fallas del software o del sistema físico, debido a problemas externos o fallas en la fabricación del componente.</t>
  </si>
  <si>
    <t>Pérdida de equipos, herramienta, maquinaria y material</t>
  </si>
  <si>
    <t>Descuido, asalto o vandalismo</t>
  </si>
  <si>
    <t>Posibilidad de afectación económica por perdida de equipos, herramienta, maquinaria y material por descuido, asalto o vandalismo.</t>
  </si>
  <si>
    <t>Gestión Física de Escenarios Deportivos</t>
  </si>
  <si>
    <t>El funcionario de Servicios Generales y el contratista líder de gestión Física de Escenarios Deportivos, son responsables del uso y control de todos los elementos, soportados con la salida y entrega por parte del Almacén.</t>
  </si>
  <si>
    <t>La Dirección y el Contratista Líder de Gestión Física de Escenarios Deportivos, supervisan el servicio de vigilancia adquirido por INSDEPORTES Cajicá, en las instalaciones del Coliseo "Villa Fortaleza de Piedra".</t>
  </si>
  <si>
    <t>Daño en la herramienta y maquinaria.</t>
  </si>
  <si>
    <t>Uso incorrecto de la herramienta y/o maquinaria.</t>
  </si>
  <si>
    <t>Posibilidad de afectación económica por daño en la herramienta y/o maquinaria por el uso incorrecto de la misma.</t>
  </si>
  <si>
    <t>El funcionario de Servicios Generales y el contratista líder de Gestión Física de Escenarios Deportivos, son responsables de velar por el buen uso de la herramienta y/o maquinaria asignado al funcionario de Sevicios Generales y soportados con la salida y entrega del Almacén.</t>
  </si>
  <si>
    <t>Daño a la infraestructura</t>
  </si>
  <si>
    <t>Por circunstancias de riesgo natural.</t>
  </si>
  <si>
    <t>Posibilidad de afectación económica por daño a la infraestructura, por riesgo natural.</t>
  </si>
  <si>
    <t>El contratista líder de Gestión Física de Escenarios Deportivos, es responsable por verificar el estado de la infraestructura que se encuentra a cargo de INSDEPORTES Cajicá, en caso de evidenciar anomalías se registrara en el formato DIR-GFED-FTO-007 FORMATO MATRIZ DE PROGRAMACIÓN Y RECURSOS INVERTIDOS EN LOS ESCENARIOS DEPORTIVOS</t>
  </si>
  <si>
    <t>Generar perdida de documentos físicos</t>
  </si>
  <si>
    <t xml:space="preserve">Falta de control en los documentos  fisicos correspondientes al proceso </t>
  </si>
  <si>
    <t>Posibilidad de afectación reputacional al presentar perdida de documentos por falta de control y seguimiento a los documentos físicos que se reciben para el proceso de préstamo o alquiler de los escenarios deportivos.</t>
  </si>
  <si>
    <t>El contratista líder de Gestión Física de Escenarios Deportivos, es responsable de verificar y controlar la documentación recibida por el solicitante del préstmo de escenarios y se hace el control mediante el formato DIR-GFED-FTO-013 CORRESPONDENCIA DE INGRESO Y SALIDA-2023</t>
  </si>
  <si>
    <t>Falta de control en los préstamos de los documentos físicos</t>
  </si>
  <si>
    <t>Posibilidad de afectación económica y reputacional por multas o sanciones debido a la perdida de documentos por la  falta de control en el préstamo de los físicos que reposan en el archivo central</t>
  </si>
  <si>
    <t>Gestión Documental, Ventanilla Única y Atención al Ciudadano</t>
  </si>
  <si>
    <t>Implementar instructivo para consultas del archivo central</t>
  </si>
  <si>
    <t>Implementar formato de control de préstamos de documentos del archivo central</t>
  </si>
  <si>
    <t>Implementar formato de matriz de firmas autorizadas para consultas de documentos del archivo central</t>
  </si>
  <si>
    <t>Generar perdida de documentos electrónicos</t>
  </si>
  <si>
    <t>Mal manejo en los documentos electrónicos que produce el Instituto</t>
  </si>
  <si>
    <t>Posibilidad de afectación económica y reputacional por multas o sanciones debido a la perdida de documentos electrónicos por la  falta de control en el manejo de los mismos</t>
  </si>
  <si>
    <t>Implementar el instructivo para la organización de los  documentos electrónicos</t>
  </si>
  <si>
    <t>Implementar el Formato Único de Inventario Documental para los documentos electrónicos</t>
  </si>
  <si>
    <t>Llevar a cabo capacitaciones sobre organización de los documentos electrónicos</t>
  </si>
  <si>
    <t>Generar incumplimiento de exigencias legales</t>
  </si>
  <si>
    <t>En cuanto al manejo y administración de archivos</t>
  </si>
  <si>
    <t>Posibilidad de afectación económica y reputacional por multas o sanciones debido al incumplimiento de exigencias legales en cuanto al manejo y administración de archivos</t>
  </si>
  <si>
    <t>implementar lo solicitado en diferentes normas legales y técnicas emitidas por el Archivo General de la Nación y otros entes en cuanto a manejo y administración de archivos.</t>
  </si>
  <si>
    <t>Generar perdida de información por deterioro de los documentos</t>
  </si>
  <si>
    <t>Falta de controles medioambientales en el lugar donde se encuentra el archivo central</t>
  </si>
  <si>
    <t>Posibilidad de afectación reputacional debido a la pérdida de información por presentarse deterioro en los documentos que reposan en el archivo central</t>
  </si>
  <si>
    <t>Implementar formato de control de condiciones ambientales del archivo central</t>
  </si>
  <si>
    <t>Implementar equipos de deshumificación en el área del archivo central</t>
  </si>
  <si>
    <t>Generar acumulación y desorden en los documentos de las oficinas</t>
  </si>
  <si>
    <t>Falta de transferencias documentales primarias</t>
  </si>
  <si>
    <t>Posibilidad de afectación reputacional debido a la acumulación y desorden en los archivos de gestión al no contar con transferencias documentales primarias</t>
  </si>
  <si>
    <t>Implementar plan de transferenicas documentales</t>
  </si>
  <si>
    <t>Vulnerar un derecho constitucional mediante la expedición irregular de correspondencia, especialmente derechos de petición pqrs</t>
  </si>
  <si>
    <t>No motivar, justificar y soportar en debida forma las respuestas emitidas y/o incumplir con los tiempos estipulados por norma.</t>
  </si>
  <si>
    <t>Posibilidad de afectación reputacional al vulnerar un derecho constitucional con la expedición irregular de las respuestas emitidas, al no estar debidamente motivados consecuencia de la falta de soportes y/o incumplimiento de los tiempos de respuesta estipulados por norma.</t>
  </si>
  <si>
    <t>Desde Atención al público y ventanilla única se deberá realizar seguimiento y control de manera constante a los tiempos de entrega, así mismo el líder de Deporte Formativo Escolar deberá implementar estrategias y cronograma de tiempos de entrega con cortes periódicos que permita emitir las respuestas y/o actos administrativos que sean requeridos por el peticionario en los tiempos establecidos en el marco de la ley.</t>
  </si>
  <si>
    <t>Desde el líder de Deporte Formativo propender por proyectar, consolidar y soportar las respuestas a PQRS allegadas a la entidad, de alcance y manejo de los procesos a su cargo, emitiendo en los tiempos de ley su gestión y firma del representante legal para su notificación a través de ventanilla única.</t>
  </si>
  <si>
    <t>Desde el líder de proceso de Gestión documental se deberá realizar control riguroso y las notificaciones necesarias con los lideres de áreas, apoyos y demás actores de la emisión de respuestas, facilitando y mitigando las afectaciones reputacionales que pudiesen presentarse por este aspecto.</t>
  </si>
  <si>
    <t>Negligencia por incumplimiento de los lineamientos y actividades para la atención a usuarios, especialmente con la cobertura de accidentes personales de la entidad.</t>
  </si>
  <si>
    <t>Deficiente control en el seguimiento de la inscripción de usuarios.</t>
  </si>
  <si>
    <t>Posibilidad de afectación económica y reputacional,  por la no vinculación del usuario en la cobertura institucional o en su defecto por realizar la prestación del servicio por parte del instructor identificando la no inscripción, adicionalmente por negligencia en el control y seguimiento de la verificación de la inscripción en el sistema, al no generar control de asistencia, como de la cobertura de la póliza institucional.</t>
  </si>
  <si>
    <t>Planeación Estratégica
Deporte Formativo Escolar
Deporte de Altos Logros
Fomento y Desarrollo Social</t>
  </si>
  <si>
    <t>Deporte Formativo Escolar
Deporte de Altos Logros
Fomento y Desarrollo Social</t>
  </si>
  <si>
    <t>El proceso de planeación estratégica y lideres misionales propenderás por establecer los criterios de adjudicación de la cobertura de póliza de accidentes personales a terceros por parte de la entidad, mitigando así afectaciones económicas y/o presupuestales sobre la entidad.</t>
  </si>
  <si>
    <t>Los líderes misionales y apoyos administrativos propenderá por realizar visitas de campo, controles y seguimiento de manera conjunta con el operador del sistema https://appinsdeportes.gov.co/ que permita dilucidar y mitigar posibles deficiencias en la vinculación de los usuarios. Mediante la consolidación del DIR-ADFE-FTO 004 FORMATO DE VISITAS DE CAMPO</t>
  </si>
  <si>
    <t>Irregularidades en el mantenimiento preventivo y/o correctivo de los escenarios deportivos (Ya sea por su estructura física, iluminarias, entre otros)</t>
  </si>
  <si>
    <t>Baja disponibilidad de recursos económicos y físicos, así mismo que sea dependiente de otra secretaría y su disponibilidad.</t>
  </si>
  <si>
    <t>Posibilidad de afectación económica y reputacional por irregularidades en el mantenimiento preventivo y/o correctivo de los escenarios deportivos, debido a baja disponibilidad de recursos económicos y físicos o en su defecto dependa de otra dependencia u secretaría de la administración central y así mismo de su disponibilidad.</t>
  </si>
  <si>
    <t>Gestión Física y Escenarios</t>
  </si>
  <si>
    <t>El proceso de Gestión Física de escenarios deportivos deberá propender por la ejecución de los mantenimientos preventivos o en su defecto gestionar con la dependencia correspondientes los arreglos correctivos que se deban ejecutar.</t>
  </si>
  <si>
    <t>El proceso de Gestión Física de escenarios deportivos de manera conjunta con Dirección realizarán la implementación de los planes de mejora destinando los recursos propios o los apoyos realizados  por las dependencias competentes, en aras de mitigar el riesgo.</t>
  </si>
  <si>
    <t>Irregularidades en la proyección del indicador del producto, la línea base y/o la meta a alcanzar, los cuales no se encuentren aterrizados a la realidad de la entidad y su población objeto.</t>
  </si>
  <si>
    <t>Posibilidad de afectación económica y reputacional por incumplimiento o porcentajes elevados superiores al 100% en las metas contempladas del PDM, debido a irregularidades en la proyección del indicador, la línea base y la meta a alcanzar, los cuales no se encuentren aterrizados a la realidad de la entidad, al entorno y su población objeto.</t>
  </si>
  <si>
    <t>Desde Dirección - Planeación Estratégica y procesos misionales se deberá consolidar las necesidades y alcance de la entidad con relación a su entorno e histórico de funcionamiento, con la finalidad de optimizar los recursos y proyectar metas medibles y alcanzables.</t>
  </si>
  <si>
    <t>Definir acciones correctivas en el ajuste y formulación de las metas de impacto sobre las condiciones y necesidades especificas del municipio.</t>
  </si>
  <si>
    <t>Verificación del impacto de las campañas mediante la medición de la participación y socialización en el informe de rendición de cuentas.</t>
  </si>
  <si>
    <t>Planeación Estratégica</t>
  </si>
  <si>
    <t>El líder del proceso de Planeación Estratégica realizará el control y seguimiento de los resultados obtenidos con relación a las metas de cumplimiento proyectadas en el PDM vigente.</t>
  </si>
  <si>
    <t xml:space="preserve">Actualización de competencias y conocimientos en favor de los procesos, desactualización del Manual de Funciones. </t>
  </si>
  <si>
    <t>Publicar de forma regular y conforme a la norma los planes institucionales</t>
  </si>
  <si>
    <t>Generar posibles errores en la liquidación de nómina</t>
  </si>
  <si>
    <t>Desconoce el funcionamiento de herramientas y atención a otros compromisos, desarrollo de actividades que no se encuentran formalmente establecidas y afectación en el ambiente laboral.</t>
  </si>
  <si>
    <t>Desorden administrativo, manejo indebido y/o desvío de procedimientos.</t>
  </si>
  <si>
    <t>Errores que se pueden
presentar en la liquidación o
generación de nóminas como incumplimiento y actualización
de novedades de personal, pagos indebidos o erróneos de aportes
y/o fuera del tiempo legal.</t>
  </si>
  <si>
    <t>Posibilidad de afectación reputacional en cuanto a la actualización de competencias y conocimiento en favor de los procesos, debido a que desconoce el funcionamiento de las herramientas y atención a otros compromisos, desarrollo de actividades que no se encuentran formalmente establecidas y afectación en el ambiente laboral.</t>
  </si>
  <si>
    <t>Posibilidad de afectación reputacional por publicar de forma irregular y conforme a la norma los planes institucionales, por causa del desorden administrativo, manejo indebido y/o desvío de procedimientos.</t>
  </si>
  <si>
    <t>Posibilidad de afectación económica y reputacional al generar posibles errores en la liquidación o generación de nóminas, como incumplimiento y actualización de novedades de personal, pagos indebidos o erróneos de aportes y/o fuera del tiempo legal.</t>
  </si>
  <si>
    <t xml:space="preserve">Gestión Humana </t>
  </si>
  <si>
    <t>La Profesional Universitaria del Área Administrativa y el proceso de planeación estratégica, deben trabajar mancomunadamente para que los planes instituciones sean publicados a más tardar el 31 de enero de cada año, a través de la página web, como lo estable la ley y el formato DIR-PE-FTO-001 CRONOGRAMA - RENDICIÓN DE INFORMES ENTES DE CONTROL Y OTROS.</t>
  </si>
  <si>
    <t xml:space="preserve">Incumplimiento en la ejecucion de actividades y eventos. </t>
  </si>
  <si>
    <t xml:space="preserve">autorización voluntaria, uso de imagen y exoneración de responsabilidades no documentadas de los usuarios. </t>
  </si>
  <si>
    <t>Caida y/o lesion de participante en evento</t>
  </si>
  <si>
    <t>Por no contar con los recursos fisicos, humanos y tecnologicos necesarios.</t>
  </si>
  <si>
    <t xml:space="preserve">Ausencia en los registros por eventos con demasiada cobertura.  </t>
  </si>
  <si>
    <t xml:space="preserve">Ejecucion de atividades que generan riesgo de caida y/o lesion. </t>
  </si>
  <si>
    <t xml:space="preserve">Posibilidad de afectacion reputacional por incumplimiento en la ejecucion de actividades y eventos al no contar con los recursos fisicos, humanos y tecnologicos necesarios. </t>
  </si>
  <si>
    <t>Posibilidad de afectación reputacional por no documentar la autorización voluntaria, uso de imagen y exoneración de responsabilidad de los usuarios, debido a la ausencia de registros por eventos con demasiada cobertura.</t>
  </si>
  <si>
    <t xml:space="preserve">Posibilidad de afectacion reputacional y economica por caida y/o lesion de un participante de evento y/o actividad. </t>
  </si>
  <si>
    <t xml:space="preserve">Fomento y Desarrollo Social </t>
  </si>
  <si>
    <t>El contratista líder de fomento y desarrollo social junto a su apoyo realizaran control y seguimiento a las actividades por medio del DIR-ADAL-FTO-010 formato visitas de campo y en línea en el grupo de WhatsApp</t>
  </si>
  <si>
    <t xml:space="preserve">El contratista líder de fomento y desarrollo social junto a su apoyo realizan DIR-GCOM-FTO-001hoja de ruta y DIR-GC-FTO-003 evaluación eventos donde se controla desde la proyección hasta la evaluación de las actividades o eventos. </t>
  </si>
  <si>
    <t>El contratista líder de área fomento y desarrollo social junto a su apoyo garantizan el diligenciamiento del DIR-AFDS-FTO-006 autorización voluntaria, uso de imagen y exoneración de responsabilidades de Insdeportes - sesiones clase, eventos y/o actividades a cada uno de los usuarios participantes.</t>
  </si>
  <si>
    <t xml:space="preserve">El contratista lider de fomento y desarrollo social debe brindar las indicaciones de seguridad y prevencion antes y durante el evento y/o actividad. </t>
  </si>
  <si>
    <t>El contratista líder de  fomento y desarrollo social junto a su apoyo garantizan el diligenciamiento del DIR-AFDS-FTO-006 autorización voluntaria, uso de imagen y exoneración de responsabilidades de Insdeportes - sesiones clase, eventos y/o actividades a cada uno de los usuarios participantes.</t>
  </si>
  <si>
    <t xml:space="preserve">Asignar mayor numero de personas que registren a la totalidad de usuarios e informarles que el registro es obligatorio para poder ser participes del evento y/o actividad. </t>
  </si>
  <si>
    <t xml:space="preserve">Contratista - Lider </t>
  </si>
  <si>
    <t xml:space="preserve">Continuo </t>
  </si>
  <si>
    <t xml:space="preserve">El contratista lider de fomento y desarrollo social debe garantizar el acompañamiento de brigadistas y tener siempre acceso a las lineas de atencion de emergencias. Adicionalmente dar aviso a gestion del riesgo del municipio sobre la actividad. </t>
  </si>
  <si>
    <t>Los deportistas que no efectúan los pagos de amonestaciones en los torneos de Fútbol.</t>
  </si>
  <si>
    <t>Los deportistas se retiran de manera anticipada del Torneo ya sea por que no clasifican a las siguientes fases del torneo o se retiran por expulsión del torneo.</t>
  </si>
  <si>
    <t>Posibilidad de afectación económica, porque los deportistas no efectúan los pagos de amonestaciones e inscripciones en los torneos de Fútbol o Campeonatos, debido al retiro anticipado de los deportistas y sus equipos, que participan en un torneo.</t>
  </si>
  <si>
    <t>Deporte Asociado y Competitivo</t>
  </si>
  <si>
    <t>Recepción de documentos de dudosa procedencia.</t>
  </si>
  <si>
    <t xml:space="preserve">Suplantación de identidad y/o falsificación de documentos </t>
  </si>
  <si>
    <t>La posibilidad de afectación reputacional, ya que para el proceso deben aportar documentos físicos como certificados y documentos que cuentan con firmas en original y estos son sensibles en cuanto a que puedan ser adulterados o falsificados en cuanto a la suscripción o contenidos de los documentos.</t>
  </si>
  <si>
    <t xml:space="preserve">Solicitar documentos y firmas originales para tener mayor certeza en cuanto a la veracidad </t>
  </si>
  <si>
    <t>Realizar verificación de documentos aportados por los afiliados que estan vinculados en los clubes deportivos, y compararlos contra lo descrito en las listas de deportistas y de dignatarios.</t>
  </si>
  <si>
    <t>Contatista Líder</t>
  </si>
  <si>
    <t>Trimestral</t>
  </si>
  <si>
    <t>Se efectua verificación de diplomas, actas de grado y firmas de documentos originales aportados para el proceso.</t>
  </si>
  <si>
    <t>Perdida, daño y hurto de equipos de producción audiovisual.</t>
  </si>
  <si>
    <t>Publicaciones con información errónea o desacertada.</t>
  </si>
  <si>
    <t>Declinar publicaciones o menciones en los canales de comunicación de la entidad.</t>
  </si>
  <si>
    <t>Descuido y falta de identificación del entorno.</t>
  </si>
  <si>
    <t>Información no verificada o con errores por parte del solicitante.</t>
  </si>
  <si>
    <t>Las partes anunciadas o entrevistadas desisten de ser mencionados por la entidad</t>
  </si>
  <si>
    <t>Posibilidad de afectación económica por, perdida, daño y hurto de equipos de producción audiovisual, debido a descuido en el ejercicio de las actividades.</t>
  </si>
  <si>
    <t>Afectación reputacional por realizar publicaciones con información errónea o desacertada, debido a falta de verificación o error por parte de los solicitantes de la entidad en la requisición de comunicaciones.</t>
  </si>
  <si>
    <t>Posibilidad de afectación Económica y reputacional por declinación de publicaciones o menciones en los canales de comunicación de la entidad por parte de los anunciados y entrevistados, por motivos ajenos a la gestión realizada de comunicaciones</t>
  </si>
  <si>
    <t>Gestión de Comunicaciones</t>
  </si>
  <si>
    <t>El contratista líder de la gestión de comunicaciones y los apoyos registran la salida y entrada de equipos de producción audiovisual del almacén mediante las actas de préstamo DIR-ALM-FTO-002 FORMATO DE ENTREGA Y-O DEVOLUCIÓN DE ELEMENTOS</t>
  </si>
  <si>
    <t>Los contratistas de la gestión de comunicaciones conocerán los pormenores de los eventos a cubrir mediante los datos consignados por las partes interesadas, tal como, horas fechas, lugares y número de asistentes. A través del DIR-GCOM-FTO-001-FORMATO ÚNICO DE REQUISICIÓN con la intención de identificar el alcance y el tipo de actividad que se realiza.</t>
  </si>
  <si>
    <t>solicitar a las partes interesadas soportes de resultados oficiales, circulares, resoluciones y comunicados que respalden la veracidad de la información</t>
  </si>
  <si>
    <t>Contratista líder de la Gestión de Comunicaciones</t>
  </si>
  <si>
    <t>Realizar comunicados oficiales y/o circulares que respalden la veracidad de la información.</t>
  </si>
  <si>
    <t>Realizar las respectivas bajas en las redes sociales y documentadas a la dirección mediante correo eléctronico, con copia a los solicitantes</t>
  </si>
  <si>
    <t>Tramitar de manera pronta las acciones para cumplir con las solicitudes de las partes interesadas</t>
  </si>
  <si>
    <t>No promover a deportistas que no cumplen con los criterios de proyección a altos logros</t>
  </si>
  <si>
    <t xml:space="preserve">Debido a la no existencia de clubes deportivos legalmente constituidos, que permitan la transición al sistema nacional del deporte </t>
  </si>
  <si>
    <t xml:space="preserve">Posibilidad de afectación reputacional por el no promover a deportistas que no cumplen con los criterios de proyección a altos logros, debido a la no existencia de clubes deportivos legalmente constituidos, que permitan la transición al sistema nacional del deporte </t>
  </si>
  <si>
    <t>No contar con la proyección competitiva para el posicionamiento</t>
  </si>
  <si>
    <t xml:space="preserve">Debido a la no existencia de una proyección competitiva clara por parte de los entrenadores </t>
  </si>
  <si>
    <t>Posibilidad de afectación reputacional por el no contar con la proyección competitiva para el posicionamiento, debido a la no existencia de una proyección competitiva clara por parte de los entrenadores</t>
  </si>
  <si>
    <t>El proceso de altos logros verifica a través del formato DIR-ADAL-FTO-009 CRITERIOS PARA EL ESTUDIO DE LA MODALIDAD DEPORTIVA EN LA TRANSICIÓN AL ÁREA DEPORTE DE ALTOS LOGROS, valida que la solicitud de proyección cumpla con los lineamientos establecidos, garantizando la transición del deportista.</t>
  </si>
  <si>
    <t>Deporte Altos Logros</t>
  </si>
  <si>
    <t>Limitaciones técnicas especializada durante la preparación integral del deportista.</t>
  </si>
  <si>
    <t>Limitaciones técnicas metodológicas en la cobertura durante el seguimiento de la Planificación Deportiva.</t>
  </si>
  <si>
    <t>Déficit de herramientas tecnológicas de las ciencias aplicadas al deporte.</t>
  </si>
  <si>
    <t>Debido a la cantidad total de categorías deportivas organizadas por los entrenadores e instructores.</t>
  </si>
  <si>
    <t>Posibilidad de afectación reputacional por las limitaciones técnica especializada durante la preparación integral del deportista, debido al déficit de herramientas tecnológicas de las ciencias aplicadas al deporte.</t>
  </si>
  <si>
    <t>Posibilidad de afectación reputacional por las limitaciones técnicas metodológicas en la cobertura durante el seguimiento de la Planificación Deportiva, debido a la cantidad total de categorías deportivas organizadas por los entrenadores e instructores.</t>
  </si>
  <si>
    <t>El contratista líder del Área Técnica Misional realiza seguimiento general al Grupos Internos de Trabajo Metodólogo deportivo, haciendo uso de las herramientas ofimáticas a través del formato: DIR-ATM-FTO-005 FORMATO DE SEGUIMIENTO DE ACTIVIDADES GENERALES.</t>
  </si>
  <si>
    <t xml:space="preserve">Gestion Area Tecnica </t>
  </si>
  <si>
    <t>Perdida de información o documentación financiera</t>
  </si>
  <si>
    <t>Perdida de claves de ingreso y token del portal transaccional bancario</t>
  </si>
  <si>
    <t>falta implementación de controles adecuados</t>
  </si>
  <si>
    <t>Hurto en oficina y/o perdida por descuido</t>
  </si>
  <si>
    <t>Posibilidad de afectación económica y reputacional por perdida de información o documentación financiera, debido a la falta de implementación de los controles adecuados.</t>
  </si>
  <si>
    <t>Posibilidad de afectación económica por perdida de claves de ingreso y token del portal transaccional bancario, debido a hurto en oficina y/o perdida por descuido.</t>
  </si>
  <si>
    <t>La Dirección y la profesional universitaria del área financiera cuentan de manera independiente con claves de acceso, usuarios y token para la preparación y aprobación de las trasferencias y pagos en los portales empresariales del Instituto.</t>
  </si>
  <si>
    <t>Gestion Financiera</t>
  </si>
  <si>
    <t xml:space="preserve">Generar daño con la expedición irregular de actos administrativos </t>
  </si>
  <si>
    <t>Incurrir en silencios administrativos</t>
  </si>
  <si>
    <t>No motivar y justificar en debida forma los actos administrativos emitidos</t>
  </si>
  <si>
    <t>No responder un derecho de petición o acción administrativa a tiempo</t>
  </si>
  <si>
    <t>Posibilidad de afectación económica al generar daño con la expedición irregular de los actos administrativos por no estar debidamente motivados consecuencia de la falta de aprobación e implementación de la política de mejora normativa.</t>
  </si>
  <si>
    <t>Posibilidad de afectación económica al incurrir en silencios administrativos por no responder un derecho de petición o actuación administrativa a tiempo</t>
  </si>
  <si>
    <t>Interés indebido en los procesos judiciales que contravengan los intereses del instituto</t>
  </si>
  <si>
    <t xml:space="preserve">Perdida de oportunidad en el pago de sentencias, conciliaciones laudos arbitrales.  </t>
  </si>
  <si>
    <t>Actos de corrupción o intereses particulares.</t>
  </si>
  <si>
    <t>Incumplimiento de sentencias judiciales</t>
  </si>
  <si>
    <t>Posibilidad de afectación económica y reputacional al incurrir en un interés indebido en los procesos judiciales que contravengan los intereses del instituto por actos de corrupción o intereses particulares.</t>
  </si>
  <si>
    <t>posibilidad de afectación económica por perdida de oportunidad en el pago de sentencias, conciliaciones y laudos arbitrales.</t>
  </si>
  <si>
    <t>Configuración de un contrato realidad</t>
  </si>
  <si>
    <t>Indebida celebración de contratos</t>
  </si>
  <si>
    <t xml:space="preserve">Por la exigencia de los aspectos constitutivos de un contrato laboral a personal que ostente un contrato de prestación de servicios. </t>
  </si>
  <si>
    <t>Interés indebido particular en la celebración de contratos</t>
  </si>
  <si>
    <t>Posibilidad de afectación económica al configurar un contrato realidad por la exigencia de aspectos constitutivos de un contrato laboral a personal que ostente un contrato de prestación de servicios.</t>
  </si>
  <si>
    <t>Posibilidad de incurrir en una indebida celebración de contratos por un interés particular en la contratación</t>
  </si>
  <si>
    <t>La oficina jurídica emitirá una circular que permita capacitar a los supervisores de los contratos de prestación de servicios sobre los aspectos que se deben evitar para la configuración de un contrato realidad.</t>
  </si>
  <si>
    <t>la oficina jurídica realizará proyectos de procesos de contratación que cumplan con los principios de selección objetiva, publicidad, transparencia, calidad de los bienes o servicios, y en general las disposiciones contenidas en la ley 80 de 1993, ley 1150 de 2007, Decreto 1510 de 2013, Decreto 1082 de 2015 y demás normas que las modifiquen, adicionen o sustituyan.</t>
  </si>
  <si>
    <t>Gestion Juridica</t>
  </si>
  <si>
    <t>Perdida y hurto de elementos de almacén</t>
  </si>
  <si>
    <t>Errores en los registros de salida
Ingreso de personal no autorizado</t>
  </si>
  <si>
    <t>Posibilidad de perdida o hurto de elementos de almacén debido a errores en el registro de salida o ingreso de personal no autorizado</t>
  </si>
  <si>
    <t>Contratista de apoyo al almacén, soportara los movimientos de almacén de manera física en el conteo y registro de los elementos en el formato DIR-ALM-FTO-003 CONTROL DE PRÉSTAMO DIARIO DE ELEMENTOS - DIR-ALM-FTO-002 FORMATO DE ENTREGA Y-O DEVOLUCIÓN DE ELEMENTOS</t>
  </si>
  <si>
    <t>Contratista de apoyo al almacén, controla el ingreso del personal permitiendo solo el ingreso de funcionarios o contratistas del Instituto o en relación con la administración.</t>
  </si>
  <si>
    <t>Inconsistencias en la toma y verificación de inventarios</t>
  </si>
  <si>
    <t>Debido al volumen en las existencias y la rotación continua de los elementos</t>
  </si>
  <si>
    <t>Posibilidad de inconsistencias en la toma de inventarios y verificación física de los mismos.</t>
  </si>
  <si>
    <t>Los contratistas de apoyo al almacén, ejecutan la actividad de manera controlada físicamente vs la información plasmada en el sistema de información, con la finalidad de garantizar las existencias y/o novedades que se presenten.</t>
  </si>
  <si>
    <t>Movimiento de elementos no autorizados</t>
  </si>
  <si>
    <t>Inconvenientes en la ejecución del debido proceso por el desarrollo de actividades no planeadas.</t>
  </si>
  <si>
    <t xml:space="preserve">Posibilidad de movimiento de elementos no autorizados omitiendo el debido proceso a causa de actividades no planeadas. </t>
  </si>
  <si>
    <t>Los contratistas de apoyo al almacén, registra la evidencia en el formato DIR-ALM-FTO-002 FORMATO DE ENTREGA Y-O DEVOLUCIÓN DE ELEMENTOS.</t>
  </si>
  <si>
    <t>Daño de equipos tecnológicos</t>
  </si>
  <si>
    <t>Por mala manipulación de los funcionarios y/o contratistas</t>
  </si>
  <si>
    <t>Posibilidad de daño de equipos tecnológicos por la mala manipulación de los funcionarios y/o contratistas de la entidad.</t>
  </si>
  <si>
    <t>Los contratistas de apoyo al almacén, registra el préstamo de elementos tecnológicos en el formato DIR-ALM-FTO-002 FORMATO DE ENTREGA Y-O DEVOLUCIÓN DE ELEMENTOS y realiza un seguimiento periódico en el formato DIR-ALM-FTO-007 SEGUIMIENTO Y CONTROL CUSTODIA DE BIENES</t>
  </si>
  <si>
    <t>Almacen</t>
  </si>
  <si>
    <t>No ejecutar el plan anual de auditoría</t>
  </si>
  <si>
    <t>Debido a que el auditado es renuente al desarrollo de la auditoria por causas fortuitas o el auditor no realiza las auditorías programadas por situaciones presentadas</t>
  </si>
  <si>
    <t>Posibilidad de afectación reputacional por no ejecutar el plan anual de auditoría, debido a que el auditado es renuente al desarrollo de la auditoria por causas fortuitas o el auditor no realiza las auditorías programadas por situaciones presentadas</t>
  </si>
  <si>
    <t>La oficina de Control interno realiza seguimiento continuo a la ejecución del plan anual de auditorías y toma acciones en el evento de la materialización del riesgo.</t>
  </si>
  <si>
    <t>Dejar de presentar plan de mejoramiento a las auditorías</t>
  </si>
  <si>
    <t>El auditado no presenta plan de mejoramiento para las auditorías realizadas al proceso</t>
  </si>
  <si>
    <t>Posibilidad de afectación reputacional por dejar de presentar plan de mejoramiento a las auditorías, debido a que el auditado no presenta plan de mejoramiento para las auditorías realizadas al proceso</t>
  </si>
  <si>
    <t>La Oficina de Control interno solicita oportunamente la presentación de los planes de mejoramiento de las auditorías internas realizadas.</t>
  </si>
  <si>
    <t>información relevante en la auditoria que deja de conocerse.</t>
  </si>
  <si>
    <t>Desconocimiento del proceso o interés de ocultamiento de información.</t>
  </si>
  <si>
    <t>Posibilidad de afectación reputacional por información relevante en la auditoria que deja de conocerse, debido a desconocimiento del proceso o interés de ocultamiento de información.</t>
  </si>
  <si>
    <t>La Oficina de Control interno realiza auditorias sistemáticas a los procesos y establecimiento de parámetros más ajustados de auditoría.</t>
  </si>
  <si>
    <t>Incurrir en situaciones de posibles materializaciones de riesgos</t>
  </si>
  <si>
    <t>Falta de conciencia del autocontrol en los funcionarios de la entidad</t>
  </si>
  <si>
    <t>Posibilidad de afectación reputacional por Incurrir en situaciones de posibles materializaciones de riesgos, debido a falta de conciencia del autocontrol en los funcionarios de la entidad</t>
  </si>
  <si>
    <t>La Oficina de Control interno, Establece criterios específicos para el seguimiento y control de las acciones o planes de mejoramiento derivadas de los hallazgos de auditoría. Incluir dentro del programa de capacitaciones, formaciones dirigidas al fomento de la cultura de autocontrol.
Dar cumplimiento a las capacitaciones que se programen y evaluar la eficacia de las mismas.</t>
  </si>
  <si>
    <t>Control Interno</t>
  </si>
  <si>
    <t>Incumplimiento o porcentajes elevados superiores al 100% en las metas contempladas en el PDM para cada vigencia</t>
  </si>
  <si>
    <t>Irregularidades en la proyección del indicador del producto, la línea base y/o la meta a alcanzar los cuales no se encuentren aterrizados a la realidad de la entidad y su población objeto.</t>
  </si>
  <si>
    <t>Posibilidad de afectación económica y reputacional por incumplimiento o porcentajes elevados superiores al 100% en las metas contempladas del PDM, debido a irregularidades en la proyección del indicador, la línea base y la meta a alcanzar, los cuales no se encuentren aterrizados a la realidad de la entidad y su población objeto.</t>
  </si>
  <si>
    <t>Desde Dirección, Planeación Estratégica y área de Deporte Formativo Escolar se deberá consolidar las necesidades y alcance de la entidad con relación a su entorno e histórico de funcionamiento, con la finalidad de optimizar los recursos y proyectar metas medibles y alcanzables.</t>
  </si>
  <si>
    <t>El líder del proceso de Planeación Estrategica realizará el control y seguimiento de los resultados obtenidos con relación a las metas de cumplimiento proyectadas en el PDM vigente.</t>
  </si>
  <si>
    <t>Incumplimiento de los términos contractuales</t>
  </si>
  <si>
    <t>Falta de seguimiento por parte del supervisor del contrato</t>
  </si>
  <si>
    <t>Posibilidad de afectación económica por incumplimiento de los términos contractuales debido a la falta de seguimiento por parte del supervisor del contrato</t>
  </si>
  <si>
    <t>Los supervisores de lo los contratos asignados por la Dirección, analizan y aprueban los informes suministrados por las contratitas validado sus obligaciones contractuales, adicionalmente emiten informe de supervisión como soporte a los pagos.</t>
  </si>
  <si>
    <t>Planeacion Estrategica</t>
  </si>
  <si>
    <t>demora en la de entrega documental del proceso</t>
  </si>
  <si>
    <t>Debido a falta de conocimiento en la estructuración documental, tiempos de entrega y compromisos ajenos al proceso</t>
  </si>
  <si>
    <t>Posibilidad de afectación reputacional por la demora de entrega documental del proceso debido a falta de conocimiento en la estructuración documental, tiempos de entrega y compromisos ajenos al proceso</t>
  </si>
  <si>
    <t>El contratista del proceso de Gestión de Calidad, capacita y acompaña la estructuración documental de los procesos y se establecen tiempos de entrega informados a la Dirección.</t>
  </si>
  <si>
    <t xml:space="preserve">Incumplimiento en la revisión anual por parte de la Dirección sobre el estado actual del Sistema de gestión de calidad </t>
  </si>
  <si>
    <t xml:space="preserve">Falta de avances en los procesos que soporten la implementación de la norma ISO 9001-2015 </t>
  </si>
  <si>
    <t>Posibilidad de afectación reputacional Incumplimiento en la revisión anual por parte de la Dirección sobre el estado actual del Sistema de Gestión de Calidad, debido a falta de avances en los procesos que soporten la implementación de la norma ISO 9001-2015</t>
  </si>
  <si>
    <t>El contratista del proceso de Gestión de Calidad, vela por la implementación de la norma en los procesos de la entidad y en coordinación con la Dirección se programa la revisión general del estado del sistema.</t>
  </si>
  <si>
    <t>Incumplimiento en la ejecución de las auditorías internas</t>
  </si>
  <si>
    <t>falta de un plan de auditoría</t>
  </si>
  <si>
    <t>Posibilidad de afectación reputacional por incumplimiento en la realización de las auditorías internas debido a la falta de un plan de auditoría</t>
  </si>
  <si>
    <t>El contratista del proceso de Gestión de Calidad, realiza el Plan Anual de Auditoría y lo comunica a través de correos electrónicos.</t>
  </si>
  <si>
    <t>Ataques externos informáticos</t>
  </si>
  <si>
    <t>Pérdida de disponibilidad de la página web</t>
  </si>
  <si>
    <t>Posibilidad de afectación reputacional, por ataques externos informáticos que generen perdida de disponibilidad de la página web</t>
  </si>
  <si>
    <t>El Contratista de gestión de recursos tecnológicos ejecuta la Instalación y mantenimiento de Firewall, actualizaciones de seguridad y verificación humana permanente.</t>
  </si>
  <si>
    <t>Publicación de información insuficiente</t>
  </si>
  <si>
    <t>Omitir controles correspondientes a la parametrización de publicaciones en la página web</t>
  </si>
  <si>
    <t>Posibilidad de afectación reputacional, por publicación de información insuficiente debido a la omisión de controles correspondientes a la parametrización de publicaciones en la página web</t>
  </si>
  <si>
    <t>El Contratista de Apoyo - Webmaster, atiende las solicitudes de publicación haciendo uso del formato DIR-GCOM-FTO-001 FORMATO ÚNICO DE REQUISICIÓN.</t>
  </si>
  <si>
    <t>El Contratista de Apoyo - Webmaster, vela por la ejecución de actividades sustentadas en el DIR-GRT-PROD-004 PROCEDIMIENTO GESTIÓN DE PÁGINA WEB.</t>
  </si>
  <si>
    <t>CONTROL DE CAMBIOS</t>
  </si>
  <si>
    <t>Fecha</t>
  </si>
  <si>
    <t>Versión</t>
  </si>
  <si>
    <t>Tipo de Cambio</t>
  </si>
  <si>
    <t>Gestión Contractual</t>
  </si>
  <si>
    <t>Gestión de Calidad</t>
  </si>
  <si>
    <t>Gestión de recursos tecnológicos y plataformas digitales - Pagina Web</t>
  </si>
  <si>
    <t>DIR-PE-FTO-003</t>
  </si>
  <si>
    <t>1 DE 1</t>
  </si>
  <si>
    <t>Gestión Documental, Ventanilla Única y Atención al Ciudadanol</t>
  </si>
  <si>
    <t xml:space="preserve">Se revisará con los funcionarios antes del 15 de enero para revisar cuales son los temas importantes a tener en cuenta en los planes de gestión humana y así mismo implementar las necesidades correspondientes en cada uno de los planes </t>
  </si>
  <si>
    <t xml:space="preserve">Apoyo Gestión Humana / P.U. Administrativa </t>
  </si>
  <si>
    <t xml:space="preserve">Se establecerá un seguimiento semestral al cumplimiento de los panes a cargo de gestión huamana </t>
  </si>
  <si>
    <t xml:space="preserve">Levantamiento de acta pára validar la ejecucion de los planes </t>
  </si>
  <si>
    <t>Actualización de los riesgos por no conformidad menor, identificada en auditoria de certificación.</t>
  </si>
  <si>
    <t xml:space="preserve">SEGURIDAD Y SALUD EN EL TRABAJO </t>
  </si>
  <si>
    <t>RECURSOS TECNOLÓGICOS</t>
  </si>
  <si>
    <t xml:space="preserve">GESTIÓN </t>
  </si>
  <si>
    <t>DEPORTIVA</t>
  </si>
  <si>
    <t>DOCUMENTAL</t>
  </si>
  <si>
    <t>DEPORTE FORMATIVO, PLANEACIÓN ESTRATEGICA</t>
  </si>
  <si>
    <t>GESTIÓN HUMANA</t>
  </si>
  <si>
    <t xml:space="preserve">DESARROLLO SOCIAL </t>
  </si>
  <si>
    <t xml:space="preserve">DEPORTE ASOCIADO </t>
  </si>
  <si>
    <t>GESTIÓN DE COMUNICACIÓNES</t>
  </si>
  <si>
    <t>DEPORTE DE ALTOS  LOGROS</t>
  </si>
  <si>
    <t>GESTIÓN TECNICA</t>
  </si>
  <si>
    <t>GESTIÓN FINANCIERA</t>
  </si>
  <si>
    <t>GESTIÓN JURIDICA</t>
  </si>
  <si>
    <t>ALMACEN</t>
  </si>
  <si>
    <t>CONTROL INTERNO</t>
  </si>
  <si>
    <t>PLANEACIÓNESTRATEGICA</t>
  </si>
  <si>
    <t>GESTIÓN CONTRACTUAL</t>
  </si>
  <si>
    <t>GESTIÓN DE  CALIDAD</t>
  </si>
  <si>
    <t>proceos</t>
  </si>
  <si>
    <t>REVISADO</t>
  </si>
  <si>
    <t>El contratista líder del Área Técnica Misional realiza seguimiento mensual al Grupo  Internos de Trabajo Interdisciplinario, haciendo uso de la plataforma PLAYSYNC que es de uso institucional , en la cual el grupo interdisiplinario carga mensualmente evidencias de gestión y se citan mensualmente a una reunión presencial en la cual queda la traza mediante actas que registran el cumplimiento de las activiades y los compromisos. Del mismo modo dichas  actas estan guardadas en el servidor institucional AURORA NEXT CLOUD , en una carpeta llamada "ACTAS 2024"</t>
  </si>
  <si>
    <t>TECNOLOGIA</t>
  </si>
  <si>
    <t xml:space="preserve">Se diligencia anualmente el formato ADM-GH-FTO-005 CRITERIOS DE EVALUACIÓN PARA FUNCIONARIOS en la cual el evaluador es el director </t>
  </si>
  <si>
    <t>Gestión juridica implemento un formato de seguimiento el cual es   JUR-GJ-FTO-009 MEMORIA JUSTIFICATIVA ADMINISTRATIVA con fin de sar seguimiento a el contenido de actos admministrativos</t>
  </si>
  <si>
    <t>Gestion Juridica y Gestión Financiera</t>
  </si>
  <si>
    <t xml:space="preserve">La oficina jurídica establece la  JUR-GJ-FTO-003 MATRIZ DE CONSULTAS Y ASESORIA JURÍDICA para el registro y control de los derechos de petición y/o solicitudes concordantes. </t>
  </si>
  <si>
    <t>Gestión jurídica implementa y ejecuta la política de prevención del daño antijurídico con fin de evitar la corrupción en los procesos judiciales. Se cuenta con dos formatos de seguimiento los cuales son: JUR-GJ-FTO-006 ANALISIS DE LAS CAUSAS PRIMARIAS Y SUBCAUSAS y JUR-GJ-FTO-007 PLAN DE ACCIÓN.</t>
  </si>
  <si>
    <t>Gestión jurídica implementa y ejecuta la política de prevención del daño antijurídico con el fin de evitar la desatención en las sentencias judiciales emitidas por los juzgados. Del mismo modo se cuenta con un formato de seguimiento : JUR-GJ-FTO-005 IDENTIFICACIÓN DE RIESGOS.</t>
  </si>
  <si>
    <t>Gestión de Contratación</t>
  </si>
  <si>
    <t>El proceso de altos logros a través de su programa de apoyos deportivos garantizara la participación de 3 competencias por disciplina deportiva, por medio de planeación técnica a salidas con el formato DIR-ATM-FTO-008 PLANIFICACIÓN TÉCNICO Y METODOLÓGICO PARA LA PREPARACIÓN DEL DEPORTISTA</t>
  </si>
  <si>
    <t>La dirección por medio del acto administrativo, regula los apoyos deportivos, garantizando las competencias avaladas y oficiales federadas. Que se almacena en la carpeta "APOYOS DEPORTIVOS" en le servidor NEXT CLOUD.</t>
  </si>
  <si>
    <t>La Dirección prioriza la atención de los deportistas proyectados hacia el alto rendimiento a través del centro médico deportivo, para mejorar la preparación integral del deportista. Que se ve reflejado en el informe mensual entegado por centro medico MET.</t>
  </si>
  <si>
    <t>El contratista líder del proceso Deporte Asociado y Competitivo, informará a los equipos que asistan al Congreso técnico, los parámetros del Torneo; entre ellos, que los equipos serán los responsables por los recaudos por concepto de amonestaciones, por lo cual los pagos pendientes de los deportistas por concepto de amonestaciones deberán ser asumidos por cada equipo. Se le realiza seguimiento a dichas amonestaciónes en el formato DIR-ADAC-FTO-011 PLANILLA DE INSCRIPCIÓN A TORNEOS Y CAMPEONATOS.</t>
  </si>
  <si>
    <t>El contratista líder del área de Deporte Asociado y Competitivo, establecerá mediante el reglamento del Torneo que se establece mediante resolución, la obligatoriedad del pago de amonestaciones por parte de los equipos y representantes de los mismos, en caso que, los deportistas no asuman los pagos por estos conceptos. Dichas resoluciones de almacenan en el servidor NEXT CLOUD carpeta "EVENTOS"</t>
  </si>
  <si>
    <t>El contratista líder de Deporte Asociado y Competitivo, enviará mediante el grupo de WhatsApp el formato de juzgamieno del arbito central , como soporte de la relación de las amonestaciones pendientes de pago y de igual manera el contratista veedor deberá solicitar al representante de cada equipo el pago antes de finalizar o al inicio  de los encuentros  acorde a cada programación  para efectuar el recaudo correspondiente.</t>
  </si>
  <si>
    <t>El contratista líder de Deporte Asociado y Competitivo y sus apoyos diligenciarán los formatos según la solicitud del interesado pueden ser diligencias los documentos: DIR-ADAC-FTO-005 Lista de Chequeo de Acta de Constitución y Asambleas, DIR-ADAC-FTO-006 Lista de Chequeo Otorgamiento del Reconocimiento Deportivo, DIR-ADAC-FTO-007 Lista de Chequeo Renovación del Reconocimiento Deportivo, DIR-ADAC-FTO-008 Lista de Chequeo Actualización del Reconocimiento Deportivo, DIR-ADAC-FTO-009 Lista de Chequeo Otorgamiento Entidades No Deportivas.     
DIR-ADAC-FTO-010 Lista de Chequeo Renovación Entidades No Deportivas, con la intención de realizar los controles correspondientes en la revisión de documentos recibidos; sin embargo, previo a la radicación de documentos se realizará una revisión para verificar los documentos.</t>
  </si>
  <si>
    <t>En los casos que se detecte una suplantación de identidad se: 1. remitie un correo electronico al club ,solicitando el documento original y/o registro civil original.  2. Se verificará los documentos con las entidades o instituciones que emitieron el respectivo documento a fin de  corroborar si la identidad corresponde a la evidenciada en los documentos aportados.</t>
  </si>
  <si>
    <t>La Profesional Universitaria del Área Administrativa y su apoyo realizan el seguimiento del cumplimiento de planes y programas del proceso de Gestión Humana de la Entidad que esta estipulado en el formato ADM-GH-FTO-007 SEGUIMIENTO A PLANES</t>
  </si>
  <si>
    <t>La Profesional Universitaria del Área Administrativa, realiza el registro de novedades de nómina (reportadas mes a mes en la plataforma SYSMAN ) y se archivan en la carpeta del funcionario correspondiente.</t>
  </si>
  <si>
    <t>La Profesional Universitaria del Área Administrativa, realiza la revisión y seguimiento de la nómina liquidada para pago, como soporte archiva los egresos correspondientes de todas las novedades presentadas mes a mes.</t>
  </si>
  <si>
    <t>Se realizan controles a los peligros identificados con el fin de reducir los niveles de riesgo. Este seguimiento se realiza con el formato ADM-SST-FTO-003 MATRIZ DE IDENTIFICACIÓN DE PELIGROS, EVALUACIÓN Y VALORACIÓN DE RIESGOS.</t>
  </si>
  <si>
    <t>Afiliación o verificación de la misma ante una ARL, se guardan los certificados de afiliación y se cuenta con una el formato ADM-SST-FTO -013 BASE DE DATOS ESTADO DE AFILIACIÓN ARL, en el cual se da seguimiento.</t>
  </si>
  <si>
    <t>Los entrenadores, formadores e instructores de los procesos misionales deberán realizar seguimiento, control y validación de los usuarios inscritos mediante el aplicativo app.insdeportescajica.gov.co mediante el control de asistencia por clase que se realiza.</t>
  </si>
  <si>
    <t>Los líderes misionales recepcionan, consolidan las novedades y gestionan las subsanaciones de las necesidades remitidas por los entrenadores del programa, remitiendo al área de mantenimiento y realizan el respectivo seguimiento. Esto bajo un cronograma de actividades y el formato DIR-ADFE-FTO-002 CRONOGRAMA ANUAL DE ACTIVIDADES, adicional bajo las visitas de campo o solicitudes de los entrenadores tambien se recepcionan las necesidades para posteriormente  enviar correos a el proceso de Gestión fisica de escenarios.</t>
  </si>
  <si>
    <t>Los líderes misionales deberán proyectar y ejecutar los programas avalados por la dirección contemplando la disponibilidad de la entidad con relación al POAI. Adicional se consolido una matriz compartida "Seguimiento global metas PDM 2024" que se encuentra en next claud. Del mismo modo se da cumpliento a la resolución 367 DEL 2023 "Por la cual se renueva el aval deportivo , a la escuela de formación polideportiva del instituto municipal de deportes y recreación de Cajíca"</t>
  </si>
  <si>
    <t>El contratista de apoyo realiza seguimiento a la documentación mediante una tabla de control de consecutivos  de egreso en la cual se verifica la documentación</t>
  </si>
  <si>
    <t xml:space="preserve">Gestion Financiera    Dirección </t>
  </si>
  <si>
    <t>El líder de la gestión de comunicaciones o su equipo realiza una verificación del contenido con el solicitante antes de la publicción deel contenido solicitado , y se espera una confirmación de dicho contenido</t>
  </si>
  <si>
    <t>El líder de la gestión de comunicaciones registrará las solicitudes de no mención de las partes interesadas en el formmato DIR-GCOM-FTO-001 FORMATO UNICO DE REQUISICIÓN  en la cual existe una casilla para que se diligencia dichas información</t>
  </si>
  <si>
    <t>Los contratistas de apoyo avisarán al líder de las solicitudes de no difusión de imagen de los usuarios o partes interesadas, mediante el correo electronico.</t>
  </si>
  <si>
    <t>Incumplimiento en los porcentajes  o cumplimiento eviado superior al 100% en las metas contempladas en el PDM para cada vigencia</t>
  </si>
  <si>
    <t xml:space="preserve">Planeacion Estrategica   Dirección   Deporte Formativo Escolar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</si>
</sst>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1"/>
      <color theme="1"/>
      <name val="Century Gothic"/>
      <family val="2"/>
    </font>
    <font>
      <sz val="10"/>
      <color theme="1"/>
      <name val="Century Gothic"/>
      <family val="2"/>
    </font>
    <font>
      <b/>
      <sz val="10"/>
      <color theme="1"/>
      <name val="Century Gothic"/>
      <family val="2"/>
    </font>
    <font>
      <sz val="10"/>
      <name val="Century Gothic"/>
      <family val="2"/>
    </font>
    <font>
      <b/>
      <sz val="12"/>
      <color theme="0"/>
      <name val="Century Gothic"/>
      <family val="2"/>
    </font>
    <font>
      <b/>
      <sz val="12"/>
      <color theme="1"/>
      <name val="Century Gothic"/>
      <family val="2"/>
    </font>
    <font>
      <b/>
      <i/>
      <sz val="10"/>
      <color theme="1"/>
      <name val="Century Gothic"/>
      <family val="2"/>
    </font>
    <font>
      <b/>
      <sz val="10"/>
      <color theme="0"/>
      <name val="Century Gothic"/>
      <family val="2"/>
    </font>
    <font>
      <sz val="9"/>
      <color theme="1"/>
      <name val="Century Gothic"/>
      <family val="2"/>
    </font>
    <font>
      <b/>
      <sz val="12"/>
      <color rgb="FFFFFF00"/>
      <name val="Calibri"/>
      <family val="2"/>
    </font>
    <font>
      <b/>
      <sz val="12"/>
      <color rgb="FF92D050"/>
      <name val="Calibri"/>
      <family val="2"/>
    </font>
    <font>
      <b/>
      <sz val="12"/>
      <color theme="9" tint="-0.249977111117893"/>
      <name val="Calibri"/>
      <family val="2"/>
    </font>
    <font>
      <b/>
      <sz val="18"/>
      <color rgb="FFFFFF66"/>
      <name val="Calibri"/>
      <family val="2"/>
    </font>
    <font>
      <b/>
      <sz val="12"/>
      <color rgb="FFFFFF66"/>
      <name val="Calibri"/>
      <family val="2"/>
    </font>
    <font>
      <b/>
      <sz val="12"/>
      <color rgb="FFC00000"/>
      <name val="Calibri"/>
      <family val="2"/>
    </font>
    <font>
      <sz val="11"/>
      <color rgb="FFC00000"/>
      <name val="Calibri"/>
      <family val="2"/>
      <scheme val="minor"/>
    </font>
    <font>
      <b/>
      <sz val="28"/>
      <color rgb="FFFFFF00"/>
      <name val="Calibri"/>
      <family val="2"/>
    </font>
    <font>
      <b/>
      <sz val="28"/>
      <color theme="9" tint="-0.249977111117893"/>
      <name val="Calibri"/>
      <family val="2"/>
    </font>
    <font>
      <sz val="10"/>
      <color theme="1"/>
      <name val="Century Gothic"/>
      <family val="2"/>
      <charset val="1"/>
    </font>
    <font>
      <b/>
      <sz val="11"/>
      <color rgb="FFFFFFFF"/>
      <name val="Century Gothic"/>
      <family val="2"/>
    </font>
    <font>
      <b/>
      <sz val="9"/>
      <color theme="0"/>
      <name val="Century Gothic"/>
      <family val="2"/>
    </font>
    <font>
      <sz val="9"/>
      <color rgb="FF000000"/>
      <name val="Century Gothic"/>
      <family val="2"/>
    </font>
  </fonts>
  <fills count="3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70C0"/>
        <bgColor indexed="64"/>
      </patternFill>
    </fill>
    <fill>
      <patternFill patternType="solid">
        <fgColor theme="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rgb="FFFF99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2060"/>
        <bgColor indexed="64"/>
      </patternFill>
    </fill>
  </fills>
  <borders count="12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dashed">
        <color theme="9" tint="-0.24994659260841701"/>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right/>
      <top style="dashed">
        <color indexed="64"/>
      </top>
      <bottom style="dashed">
        <color theme="9" tint="-0.24994659260841701"/>
      </bottom>
      <diagonal/>
    </border>
    <border>
      <left/>
      <right style="dashed">
        <color indexed="64"/>
      </right>
      <top style="dashed">
        <color indexed="64"/>
      </top>
      <bottom style="dashed">
        <color indexed="64"/>
      </bottom>
      <diagonal/>
    </border>
    <border>
      <left style="dashed">
        <color indexed="64"/>
      </left>
      <right/>
      <top/>
      <bottom/>
      <diagonal/>
    </border>
    <border>
      <left style="hair">
        <color indexed="64"/>
      </left>
      <right style="dashed">
        <color indexed="64"/>
      </right>
      <top style="hair">
        <color indexed="64"/>
      </top>
      <bottom style="hair">
        <color indexed="64"/>
      </bottom>
      <diagonal/>
    </border>
    <border>
      <left style="dashed">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dashed">
        <color indexed="64"/>
      </right>
      <top style="dashed">
        <color indexed="64"/>
      </top>
      <bottom style="dashed">
        <color indexed="64"/>
      </bottom>
      <diagonal/>
    </border>
    <border>
      <left style="hair">
        <color indexed="64"/>
      </left>
      <right style="hair">
        <color indexed="64"/>
      </right>
      <top style="dashed">
        <color indexed="64"/>
      </top>
      <bottom/>
      <diagonal/>
    </border>
    <border>
      <left style="hair">
        <color indexed="64"/>
      </left>
      <right style="dashed">
        <color indexed="64"/>
      </right>
      <top style="dashed">
        <color indexed="64"/>
      </top>
      <bottom/>
      <diagonal/>
    </border>
    <border>
      <left style="hair">
        <color indexed="64"/>
      </left>
      <right style="dashed">
        <color indexed="64"/>
      </right>
      <top style="hair">
        <color indexed="64"/>
      </top>
      <bottom style="dashed">
        <color indexed="64"/>
      </bottom>
      <diagonal/>
    </border>
    <border>
      <left/>
      <right style="hair">
        <color indexed="64"/>
      </right>
      <top style="dashed">
        <color indexed="64"/>
      </top>
      <bottom/>
      <diagonal/>
    </border>
    <border>
      <left style="hair">
        <color indexed="64"/>
      </left>
      <right style="hair">
        <color indexed="64"/>
      </right>
      <top style="hair">
        <color indexed="64"/>
      </top>
      <bottom style="dashed">
        <color indexed="64"/>
      </bottom>
      <diagonal/>
    </border>
    <border>
      <left style="dashed">
        <color theme="9" tint="-0.24994659260841701"/>
      </left>
      <right/>
      <top style="dashed">
        <color indexed="64"/>
      </top>
      <bottom style="dashed">
        <color theme="9" tint="-0.24994659260841701"/>
      </bottom>
      <diagonal/>
    </border>
    <border>
      <left/>
      <right style="hair">
        <color indexed="64"/>
      </right>
      <top style="hair">
        <color indexed="64"/>
      </top>
      <bottom/>
      <diagonal/>
    </border>
    <border>
      <left/>
      <right style="hair">
        <color indexed="64"/>
      </right>
      <top/>
      <bottom/>
      <diagonal/>
    </border>
    <border>
      <left/>
      <right style="dashed">
        <color theme="9" tint="-0.24994659260841701"/>
      </right>
      <top style="dashed">
        <color theme="9" tint="-0.24994659260841701"/>
      </top>
      <bottom/>
      <diagonal/>
    </border>
    <border>
      <left/>
      <right style="dashed">
        <color theme="9" tint="-0.24994659260841701"/>
      </right>
      <top/>
      <bottom/>
      <diagonal/>
    </border>
    <border>
      <left style="dashed">
        <color theme="9" tint="-0.24994659260841701"/>
      </left>
      <right style="dotted">
        <color rgb="FF0070C0"/>
      </right>
      <top style="dashed">
        <color theme="9" tint="-0.24994659260841701"/>
      </top>
      <bottom/>
      <diagonal/>
    </border>
    <border>
      <left style="dashed">
        <color theme="9" tint="-0.24994659260841701"/>
      </left>
      <right style="dotted">
        <color rgb="FF0070C0"/>
      </right>
      <top/>
      <bottom/>
      <diagonal/>
    </border>
    <border>
      <left style="dashed">
        <color theme="9" tint="-0.24994659260841701"/>
      </left>
      <right style="dotted">
        <color rgb="FF0070C0"/>
      </right>
      <top/>
      <bottom style="dashed">
        <color theme="9" tint="-0.24994659260841701"/>
      </bottom>
      <diagonal/>
    </border>
    <border>
      <left style="dotted">
        <color rgb="FF0070C0"/>
      </left>
      <right style="dashed">
        <color theme="9" tint="-0.24994659260841701"/>
      </right>
      <top style="dashed">
        <color theme="9" tint="-0.24994659260841701"/>
      </top>
      <bottom/>
      <diagonal/>
    </border>
    <border>
      <left style="dotted">
        <color rgb="FF0070C0"/>
      </left>
      <right style="dashed">
        <color theme="9" tint="-0.24994659260841701"/>
      </right>
      <top/>
      <bottom/>
      <diagonal/>
    </border>
    <border>
      <left style="dotted">
        <color rgb="FF0070C0"/>
      </left>
      <right style="dashed">
        <color theme="9" tint="-0.24994659260841701"/>
      </right>
      <top/>
      <bottom style="dashed">
        <color theme="9" tint="-0.24994659260841701"/>
      </bottom>
      <diagonal/>
    </border>
    <border>
      <left style="dashed">
        <color theme="9" tint="-0.24994659260841701"/>
      </left>
      <right style="dashed">
        <color theme="9" tint="-0.24994659260841701"/>
      </right>
      <top style="dashed">
        <color theme="9" tint="-0.24994659260841701"/>
      </top>
      <bottom style="dashed">
        <color theme="9" tint="-0.249977111117893"/>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style="dashed">
        <color theme="9" tint="-0.24994659260841701"/>
      </left>
      <right style="dashed">
        <color theme="9" tint="-0.24994659260841701"/>
      </right>
      <top style="dashed">
        <color theme="9" tint="-0.249977111117893"/>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theme="9" tint="-0.24994659260841701"/>
      </left>
      <right style="dashed">
        <color theme="9" tint="-0.24994659260841701"/>
      </right>
      <top/>
      <bottom style="dotted">
        <color theme="9" tint="-0.249977111117893"/>
      </bottom>
      <diagonal/>
    </border>
    <border>
      <left style="dashed">
        <color theme="9" tint="-0.24994659260841701"/>
      </left>
      <right style="dotted">
        <color rgb="FF0070C0"/>
      </right>
      <top/>
      <bottom style="dotted">
        <color theme="9" tint="-0.249977111117893"/>
      </bottom>
      <diagonal/>
    </border>
    <border>
      <left/>
      <right style="dashed">
        <color theme="9" tint="-0.249977111117893"/>
      </right>
      <top style="dashed">
        <color theme="9" tint="-0.24994659260841701"/>
      </top>
      <bottom/>
      <diagonal/>
    </border>
    <border>
      <left style="medium">
        <color indexed="64"/>
      </left>
      <right style="medium">
        <color indexed="64"/>
      </right>
      <top style="medium">
        <color indexed="64"/>
      </top>
      <bottom style="medium">
        <color indexed="64"/>
      </bottom>
      <diagonal/>
    </border>
    <border>
      <left/>
      <right style="dashed">
        <color theme="9" tint="-0.249977111117893"/>
      </right>
      <top/>
      <bottom/>
      <diagonal/>
    </border>
    <border>
      <left/>
      <right style="dashed">
        <color theme="9" tint="-0.249977111117893"/>
      </right>
      <top/>
      <bottom style="dashed">
        <color theme="9" tint="-0.2499465926084170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ashed">
        <color theme="9" tint="-0.24994659260841701"/>
      </top>
      <bottom style="dashed">
        <color theme="9" tint="-0.24994659260841701"/>
      </bottom>
      <diagonal/>
    </border>
    <border>
      <left/>
      <right style="dashed">
        <color theme="9" tint="-0.24994659260841701"/>
      </right>
      <top/>
      <bottom style="dotted">
        <color theme="9" tint="-0.249977111117893"/>
      </bottom>
      <diagonal/>
    </border>
    <border>
      <left style="medium">
        <color indexed="64"/>
      </left>
      <right style="medium">
        <color indexed="64"/>
      </right>
      <top style="medium">
        <color indexed="64"/>
      </top>
      <bottom style="dashed">
        <color theme="9" tint="-0.24994659260841701"/>
      </bottom>
      <diagonal/>
    </border>
    <border>
      <left style="medium">
        <color indexed="64"/>
      </left>
      <right style="medium">
        <color indexed="64"/>
      </right>
      <top style="dashed">
        <color theme="9" tint="-0.24994659260841701"/>
      </top>
      <bottom style="medium">
        <color indexed="64"/>
      </bottom>
      <diagonal/>
    </border>
  </borders>
  <cellStyleXfs count="5">
    <xf numFmtId="0" fontId="0" fillId="0" borderId="0"/>
    <xf numFmtId="9" fontId="12" fillId="0" borderId="0" applyFont="0" applyFill="0" applyBorder="0" applyAlignment="0" applyProtection="0"/>
    <xf numFmtId="0" fontId="43" fillId="0" borderId="0"/>
    <xf numFmtId="0" fontId="44" fillId="0" borderId="0"/>
    <xf numFmtId="0" fontId="4" fillId="0" borderId="0"/>
  </cellStyleXfs>
  <cellXfs count="575">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11" xfId="0" applyFont="1" applyFill="1" applyBorder="1" applyAlignment="1">
      <alignment horizontal="center" vertical="center" wrapText="1" readingOrder="1"/>
    </xf>
    <xf numFmtId="0" fontId="8" fillId="0" borderId="11" xfId="0" applyFont="1" applyBorder="1" applyAlignment="1">
      <alignment horizontal="justify" vertical="center" wrapText="1" readingOrder="1"/>
    </xf>
    <xf numFmtId="9" fontId="8" fillId="0" borderId="11"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4" fillId="0" borderId="0" xfId="0" applyFont="1" applyAlignment="1">
      <alignment vertical="center"/>
    </xf>
    <xf numFmtId="0" fontId="25" fillId="0" borderId="0" xfId="0" applyFont="1"/>
    <xf numFmtId="0" fontId="23" fillId="0" borderId="0" xfId="0" applyFont="1"/>
    <xf numFmtId="0" fontId="0" fillId="0" borderId="0" xfId="0" pivotButton="1"/>
    <xf numFmtId="0" fontId="10" fillId="0" borderId="0" xfId="0" applyFont="1" applyAlignment="1">
      <alignment horizontal="justify" vertical="center" wrapText="1" readingOrder="1"/>
    </xf>
    <xf numFmtId="0" fontId="26" fillId="0" borderId="0" xfId="0" applyFont="1"/>
    <xf numFmtId="0" fontId="28" fillId="6" borderId="0" xfId="0" applyFont="1" applyFill="1" applyAlignment="1">
      <alignment horizontal="center" vertical="center" wrapText="1" readingOrder="1"/>
    </xf>
    <xf numFmtId="0" fontId="29" fillId="0" borderId="11" xfId="0" applyFont="1" applyBorder="1" applyAlignment="1">
      <alignment horizontal="justify" vertical="center" wrapText="1" readingOrder="1"/>
    </xf>
    <xf numFmtId="0" fontId="29" fillId="0" borderId="1" xfId="0" applyFont="1" applyBorder="1" applyAlignment="1">
      <alignment horizontal="justify" vertical="center" wrapText="1" readingOrder="1"/>
    </xf>
    <xf numFmtId="0" fontId="29" fillId="5" borderId="11"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29" fillId="4" borderId="1" xfId="0" applyFont="1" applyFill="1" applyBorder="1" applyAlignment="1">
      <alignment horizontal="center" vertical="center" wrapText="1" readingOrder="1"/>
    </xf>
    <xf numFmtId="0" fontId="29" fillId="8" borderId="1" xfId="0" applyFont="1" applyFill="1" applyBorder="1" applyAlignment="1">
      <alignment horizontal="center" vertical="center" wrapText="1" readingOrder="1"/>
    </xf>
    <xf numFmtId="0" fontId="30" fillId="9" borderId="1" xfId="0" applyFont="1" applyFill="1" applyBorder="1" applyAlignment="1">
      <alignment horizontal="center" vertical="center" wrapText="1" readingOrder="1"/>
    </xf>
    <xf numFmtId="0" fontId="29" fillId="0" borderId="11" xfId="0" applyFont="1" applyBorder="1" applyAlignment="1">
      <alignment horizontal="center" vertical="center" wrapText="1" readingOrder="1"/>
    </xf>
    <xf numFmtId="0" fontId="29" fillId="0" borderId="1" xfId="0" applyFont="1" applyBorder="1" applyAlignment="1">
      <alignment horizontal="center" vertical="center" wrapText="1" readingOrder="1"/>
    </xf>
    <xf numFmtId="0" fontId="17" fillId="13" borderId="12"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16" xfId="0" applyFont="1" applyFill="1" applyBorder="1" applyAlignment="1" applyProtection="1">
      <alignment horizontal="center" wrapText="1" readingOrder="1"/>
      <protection hidden="1"/>
    </xf>
    <xf numFmtId="0" fontId="17" fillId="5" borderId="16" xfId="0" applyFont="1" applyFill="1" applyBorder="1" applyAlignment="1" applyProtection="1">
      <alignment horizontal="center" wrapText="1" readingOrder="1"/>
      <protection hidden="1"/>
    </xf>
    <xf numFmtId="0" fontId="17" fillId="5" borderId="18" xfId="0" applyFont="1" applyFill="1" applyBorder="1" applyAlignment="1" applyProtection="1">
      <alignment horizontal="center" wrapText="1" readingOrder="1"/>
      <protection hidden="1"/>
    </xf>
    <xf numFmtId="0" fontId="0" fillId="3" borderId="0" xfId="0" applyFill="1"/>
    <xf numFmtId="0" fontId="45" fillId="3" borderId="48" xfId="2" applyFont="1" applyFill="1" applyBorder="1"/>
    <xf numFmtId="0" fontId="45" fillId="3" borderId="49" xfId="2" applyFont="1" applyFill="1" applyBorder="1"/>
    <xf numFmtId="0" fontId="45" fillId="3" borderId="50" xfId="2" applyFont="1" applyFill="1" applyBorder="1"/>
    <xf numFmtId="0" fontId="14" fillId="3" borderId="0" xfId="0" applyFont="1" applyFill="1" applyAlignment="1">
      <alignment vertical="center"/>
    </xf>
    <xf numFmtId="0" fontId="4" fillId="3" borderId="0" xfId="0" applyFont="1" applyFill="1"/>
    <xf numFmtId="0" fontId="32" fillId="3" borderId="0" xfId="0" applyFont="1" applyFill="1"/>
    <xf numFmtId="0" fontId="33" fillId="3" borderId="31" xfId="0" applyFont="1" applyFill="1" applyBorder="1" applyAlignment="1">
      <alignment horizontal="center" vertical="center" wrapText="1" readingOrder="1"/>
    </xf>
    <xf numFmtId="0" fontId="34" fillId="3" borderId="31" xfId="0" applyFont="1" applyFill="1" applyBorder="1" applyAlignment="1">
      <alignment horizontal="justify" vertical="center" wrapText="1" readingOrder="1"/>
    </xf>
    <xf numFmtId="9" fontId="33" fillId="3" borderId="40" xfId="0" applyNumberFormat="1" applyFont="1" applyFill="1" applyBorder="1" applyAlignment="1">
      <alignment horizontal="center" vertical="center" wrapText="1" readingOrder="1"/>
    </xf>
    <xf numFmtId="0" fontId="33" fillId="3" borderId="30" xfId="0" applyFont="1" applyFill="1" applyBorder="1" applyAlignment="1">
      <alignment horizontal="center" vertical="center" wrapText="1" readingOrder="1"/>
    </xf>
    <xf numFmtId="0" fontId="34" fillId="3" borderId="30" xfId="0" applyFont="1" applyFill="1" applyBorder="1" applyAlignment="1">
      <alignment horizontal="justify" vertical="center" wrapText="1" readingOrder="1"/>
    </xf>
    <xf numFmtId="9" fontId="33" fillId="3" borderId="35" xfId="0" applyNumberFormat="1" applyFont="1" applyFill="1" applyBorder="1" applyAlignment="1">
      <alignment horizontal="center" vertical="center" wrapText="1" readingOrder="1"/>
    </xf>
    <xf numFmtId="0" fontId="34" fillId="3" borderId="35" xfId="0" applyFont="1" applyFill="1" applyBorder="1" applyAlignment="1">
      <alignment horizontal="center" vertical="center" wrapText="1" readingOrder="1"/>
    </xf>
    <xf numFmtId="0" fontId="33" fillId="3" borderId="37" xfId="0" applyFont="1" applyFill="1" applyBorder="1" applyAlignment="1">
      <alignment horizontal="center" vertical="center" wrapText="1" readingOrder="1"/>
    </xf>
    <xf numFmtId="0" fontId="34" fillId="3" borderId="37" xfId="0" applyFont="1" applyFill="1" applyBorder="1" applyAlignment="1">
      <alignment horizontal="justify" vertical="center" wrapText="1" readingOrder="1"/>
    </xf>
    <xf numFmtId="0" fontId="34" fillId="3" borderId="38" xfId="0" applyFont="1" applyFill="1" applyBorder="1" applyAlignment="1">
      <alignment horizontal="center" vertical="center" wrapText="1" readingOrder="1"/>
    </xf>
    <xf numFmtId="0" fontId="42" fillId="3" borderId="0" xfId="0" applyFont="1" applyFill="1"/>
    <xf numFmtId="0" fontId="33" fillId="15" borderId="42" xfId="0" applyFont="1" applyFill="1" applyBorder="1" applyAlignment="1">
      <alignment horizontal="center" vertical="center" wrapText="1" readingOrder="1"/>
    </xf>
    <xf numFmtId="0" fontId="33" fillId="15" borderId="43" xfId="0" applyFont="1" applyFill="1" applyBorder="1" applyAlignment="1">
      <alignment horizontal="center" vertical="center" wrapText="1" readingOrder="1"/>
    </xf>
    <xf numFmtId="0" fontId="11" fillId="3" borderId="0" xfId="0" applyFont="1" applyFill="1"/>
    <xf numFmtId="0" fontId="27"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5" fillId="3" borderId="14" xfId="2" applyFont="1" applyFill="1" applyBorder="1"/>
    <xf numFmtId="0" fontId="50" fillId="3" borderId="0" xfId="0" applyFont="1" applyFill="1" applyAlignment="1">
      <alignment horizontal="left" vertical="center" wrapText="1"/>
    </xf>
    <xf numFmtId="0" fontId="51" fillId="3" borderId="0" xfId="0" applyFont="1" applyFill="1" applyAlignment="1">
      <alignment horizontal="left" vertical="top" wrapText="1"/>
    </xf>
    <xf numFmtId="0" fontId="45" fillId="3" borderId="0" xfId="2" applyFont="1" applyFill="1"/>
    <xf numFmtId="0" fontId="45" fillId="3" borderId="15" xfId="2" applyFont="1" applyFill="1" applyBorder="1"/>
    <xf numFmtId="0" fontId="45" fillId="3" borderId="16" xfId="2" applyFont="1" applyFill="1" applyBorder="1"/>
    <xf numFmtId="0" fontId="45" fillId="3" borderId="18" xfId="2" applyFont="1" applyFill="1" applyBorder="1"/>
    <xf numFmtId="0" fontId="45" fillId="3" borderId="17" xfId="2" applyFont="1" applyFill="1" applyBorder="1"/>
    <xf numFmtId="0" fontId="49" fillId="3" borderId="0" xfId="2" applyFont="1" applyFill="1" applyAlignment="1">
      <alignment horizontal="left" vertical="center" wrapText="1"/>
    </xf>
    <xf numFmtId="0" fontId="45" fillId="3" borderId="0" xfId="2" applyFont="1" applyFill="1" applyAlignment="1">
      <alignment horizontal="left" vertical="center" wrapText="1"/>
    </xf>
    <xf numFmtId="0" fontId="45" fillId="3" borderId="0" xfId="2" quotePrefix="1" applyFont="1" applyFill="1" applyAlignment="1">
      <alignment horizontal="left" vertical="center" wrapText="1"/>
    </xf>
    <xf numFmtId="0" fontId="47" fillId="3" borderId="14" xfId="2" quotePrefix="1" applyFont="1" applyFill="1" applyBorder="1" applyAlignment="1">
      <alignment horizontal="left" vertical="top" wrapText="1"/>
    </xf>
    <xf numFmtId="0" fontId="48" fillId="3" borderId="0" xfId="2" quotePrefix="1" applyFont="1" applyFill="1" applyAlignment="1">
      <alignment horizontal="left" vertical="top" wrapText="1"/>
    </xf>
    <xf numFmtId="0" fontId="48" fillId="3" borderId="15" xfId="2" quotePrefix="1" applyFont="1" applyFill="1" applyBorder="1" applyAlignment="1">
      <alignment horizontal="left" vertical="top" wrapText="1"/>
    </xf>
    <xf numFmtId="0" fontId="63" fillId="13" borderId="19" xfId="0" applyFont="1" applyFill="1" applyBorder="1" applyAlignment="1" applyProtection="1">
      <alignment horizontal="center" wrapText="1" readingOrder="1"/>
      <protection hidden="1"/>
    </xf>
    <xf numFmtId="0" fontId="63" fillId="13" borderId="13" xfId="0" applyFont="1" applyFill="1" applyBorder="1" applyAlignment="1" applyProtection="1">
      <alignment horizontal="center" wrapText="1" readingOrder="1"/>
      <protection hidden="1"/>
    </xf>
    <xf numFmtId="0" fontId="63" fillId="13" borderId="0" xfId="0" applyFont="1" applyFill="1" applyAlignment="1" applyProtection="1">
      <alignment horizontal="center" wrapText="1" readingOrder="1"/>
      <protection hidden="1"/>
    </xf>
    <xf numFmtId="0" fontId="63" fillId="13" borderId="15" xfId="0" applyFont="1" applyFill="1" applyBorder="1" applyAlignment="1" applyProtection="1">
      <alignment horizontal="center" wrapText="1" readingOrder="1"/>
      <protection hidden="1"/>
    </xf>
    <xf numFmtId="0" fontId="63" fillId="13" borderId="14" xfId="0" applyFont="1" applyFill="1" applyBorder="1" applyAlignment="1" applyProtection="1">
      <alignment horizontal="center" wrapText="1" readingOrder="1"/>
      <protection hidden="1"/>
    </xf>
    <xf numFmtId="0" fontId="63" fillId="13" borderId="12" xfId="0" applyFont="1" applyFill="1" applyBorder="1" applyAlignment="1" applyProtection="1">
      <alignment horizontal="center" wrapText="1" readingOrder="1"/>
      <protection hidden="1"/>
    </xf>
    <xf numFmtId="0" fontId="63" fillId="13" borderId="16" xfId="0" applyFont="1" applyFill="1" applyBorder="1" applyAlignment="1" applyProtection="1">
      <alignment horizontal="center" wrapText="1" readingOrder="1"/>
      <protection hidden="1"/>
    </xf>
    <xf numFmtId="0" fontId="63" fillId="13" borderId="18" xfId="0" applyFont="1" applyFill="1" applyBorder="1" applyAlignment="1" applyProtection="1">
      <alignment horizontal="center" wrapText="1" readingOrder="1"/>
      <protection hidden="1"/>
    </xf>
    <xf numFmtId="0" fontId="63" fillId="13" borderId="17" xfId="0" applyFont="1" applyFill="1" applyBorder="1" applyAlignment="1" applyProtection="1">
      <alignment horizontal="center" wrapText="1" readingOrder="1"/>
      <protection hidden="1"/>
    </xf>
    <xf numFmtId="0" fontId="64" fillId="5" borderId="12" xfId="0" applyFont="1" applyFill="1" applyBorder="1" applyAlignment="1" applyProtection="1">
      <alignment horizontal="center" wrapText="1" readingOrder="1"/>
      <protection hidden="1"/>
    </xf>
    <xf numFmtId="0" fontId="64" fillId="5" borderId="19" xfId="0" applyFont="1" applyFill="1" applyBorder="1" applyAlignment="1" applyProtection="1">
      <alignment horizontal="center" wrapText="1" readingOrder="1"/>
      <protection hidden="1"/>
    </xf>
    <xf numFmtId="0" fontId="64" fillId="5" borderId="13" xfId="0" applyFont="1" applyFill="1" applyBorder="1" applyAlignment="1" applyProtection="1">
      <alignment horizontal="center" wrapText="1" readingOrder="1"/>
      <protection hidden="1"/>
    </xf>
    <xf numFmtId="0" fontId="64" fillId="5" borderId="14" xfId="0" applyFont="1" applyFill="1" applyBorder="1" applyAlignment="1" applyProtection="1">
      <alignment horizontal="center" wrapText="1" readingOrder="1"/>
      <protection hidden="1"/>
    </xf>
    <xf numFmtId="0" fontId="64" fillId="5" borderId="0" xfId="0" applyFont="1" applyFill="1" applyAlignment="1" applyProtection="1">
      <alignment horizontal="center" wrapText="1" readingOrder="1"/>
      <protection hidden="1"/>
    </xf>
    <xf numFmtId="0" fontId="64" fillId="5" borderId="15" xfId="0" applyFont="1" applyFill="1" applyBorder="1" applyAlignment="1" applyProtection="1">
      <alignment horizontal="center" wrapText="1" readingOrder="1"/>
      <protection hidden="1"/>
    </xf>
    <xf numFmtId="0" fontId="64" fillId="5" borderId="16" xfId="0" applyFont="1" applyFill="1" applyBorder="1" applyAlignment="1" applyProtection="1">
      <alignment horizontal="center" wrapText="1" readingOrder="1"/>
      <protection hidden="1"/>
    </xf>
    <xf numFmtId="0" fontId="64" fillId="5" borderId="18" xfId="0" applyFont="1" applyFill="1" applyBorder="1" applyAlignment="1" applyProtection="1">
      <alignment horizontal="center" wrapText="1" readingOrder="1"/>
      <protection hidden="1"/>
    </xf>
    <xf numFmtId="0" fontId="64" fillId="5" borderId="17" xfId="0" applyFont="1" applyFill="1" applyBorder="1" applyAlignment="1" applyProtection="1">
      <alignment horizontal="center" wrapText="1" readingOrder="1"/>
      <protection hidden="1"/>
    </xf>
    <xf numFmtId="0" fontId="65" fillId="11" borderId="12" xfId="0" applyFont="1" applyFill="1" applyBorder="1" applyAlignment="1" applyProtection="1">
      <alignment horizontal="center" vertical="center" wrapText="1" readingOrder="1"/>
      <protection hidden="1"/>
    </xf>
    <xf numFmtId="0" fontId="65" fillId="11" borderId="19" xfId="0" applyFont="1" applyFill="1" applyBorder="1" applyAlignment="1" applyProtection="1">
      <alignment horizontal="center" vertical="center" wrapText="1" readingOrder="1"/>
      <protection hidden="1"/>
    </xf>
    <xf numFmtId="0" fontId="65" fillId="11" borderId="13" xfId="0" applyFont="1" applyFill="1" applyBorder="1" applyAlignment="1" applyProtection="1">
      <alignment horizontal="center" vertical="center" wrapText="1" readingOrder="1"/>
      <protection hidden="1"/>
    </xf>
    <xf numFmtId="0" fontId="65" fillId="11" borderId="14" xfId="0" applyFont="1" applyFill="1" applyBorder="1" applyAlignment="1" applyProtection="1">
      <alignment horizontal="center" vertical="center" wrapText="1" readingOrder="1"/>
      <protection hidden="1"/>
    </xf>
    <xf numFmtId="0" fontId="65" fillId="11" borderId="0" xfId="0" applyFont="1" applyFill="1" applyAlignment="1" applyProtection="1">
      <alignment horizontal="center" vertical="center" wrapText="1" readingOrder="1"/>
      <protection hidden="1"/>
    </xf>
    <xf numFmtId="0" fontId="65" fillId="11" borderId="15" xfId="0" applyFont="1" applyFill="1" applyBorder="1" applyAlignment="1" applyProtection="1">
      <alignment horizontal="center" vertical="center" wrapText="1" readingOrder="1"/>
      <protection hidden="1"/>
    </xf>
    <xf numFmtId="0" fontId="65" fillId="11" borderId="16" xfId="0" applyFont="1" applyFill="1" applyBorder="1" applyAlignment="1" applyProtection="1">
      <alignment horizontal="center" vertical="center" wrapText="1" readingOrder="1"/>
      <protection hidden="1"/>
    </xf>
    <xf numFmtId="0" fontId="65" fillId="11" borderId="18" xfId="0" applyFont="1" applyFill="1" applyBorder="1" applyAlignment="1" applyProtection="1">
      <alignment horizontal="center" vertical="center" wrapText="1" readingOrder="1"/>
      <protection hidden="1"/>
    </xf>
    <xf numFmtId="0" fontId="65" fillId="11" borderId="17" xfId="0" applyFont="1" applyFill="1" applyBorder="1" applyAlignment="1" applyProtection="1">
      <alignment horizontal="center" vertical="center" wrapText="1" readingOrder="1"/>
      <protection hidden="1"/>
    </xf>
    <xf numFmtId="0" fontId="66" fillId="13" borderId="19" xfId="0" applyFont="1" applyFill="1" applyBorder="1" applyAlignment="1" applyProtection="1">
      <alignment horizontal="center" wrapText="1" readingOrder="1"/>
      <protection hidden="1"/>
    </xf>
    <xf numFmtId="0" fontId="67" fillId="13" borderId="19" xfId="0" applyFont="1" applyFill="1" applyBorder="1" applyAlignment="1" applyProtection="1">
      <alignment horizontal="center" wrapText="1" readingOrder="1"/>
      <protection hidden="1"/>
    </xf>
    <xf numFmtId="0" fontId="67" fillId="13" borderId="13" xfId="0" applyFont="1" applyFill="1" applyBorder="1" applyAlignment="1" applyProtection="1">
      <alignment horizontal="center" wrapText="1" readingOrder="1"/>
      <protection hidden="1"/>
    </xf>
    <xf numFmtId="0" fontId="67" fillId="13" borderId="0" xfId="0" applyFont="1" applyFill="1" applyAlignment="1" applyProtection="1">
      <alignment horizontal="center" wrapText="1" readingOrder="1"/>
      <protection hidden="1"/>
    </xf>
    <xf numFmtId="0" fontId="67" fillId="13" borderId="15" xfId="0" applyFont="1" applyFill="1" applyBorder="1" applyAlignment="1" applyProtection="1">
      <alignment horizontal="center" wrapText="1" readingOrder="1"/>
      <protection hidden="1"/>
    </xf>
    <xf numFmtId="0" fontId="67" fillId="13" borderId="18" xfId="0" applyFont="1" applyFill="1" applyBorder="1" applyAlignment="1" applyProtection="1">
      <alignment horizontal="center" wrapText="1" readingOrder="1"/>
      <protection hidden="1"/>
    </xf>
    <xf numFmtId="0" fontId="67" fillId="13" borderId="17" xfId="0" applyFont="1" applyFill="1" applyBorder="1" applyAlignment="1" applyProtection="1">
      <alignment horizontal="center" wrapText="1" readingOrder="1"/>
      <protection hidden="1"/>
    </xf>
    <xf numFmtId="0" fontId="68" fillId="12" borderId="12" xfId="0" applyFont="1" applyFill="1" applyBorder="1" applyAlignment="1" applyProtection="1">
      <alignment horizontal="center" wrapText="1" readingOrder="1"/>
      <protection hidden="1"/>
    </xf>
    <xf numFmtId="0" fontId="68" fillId="12" borderId="19" xfId="0" applyFont="1" applyFill="1" applyBorder="1" applyAlignment="1" applyProtection="1">
      <alignment horizontal="center" wrapText="1" readingOrder="1"/>
      <protection hidden="1"/>
    </xf>
    <xf numFmtId="0" fontId="68" fillId="12" borderId="13" xfId="0" applyFont="1" applyFill="1" applyBorder="1" applyAlignment="1" applyProtection="1">
      <alignment horizontal="center" wrapText="1" readingOrder="1"/>
      <protection hidden="1"/>
    </xf>
    <xf numFmtId="0" fontId="68" fillId="12" borderId="14" xfId="0" applyFont="1" applyFill="1" applyBorder="1" applyAlignment="1" applyProtection="1">
      <alignment horizontal="center" wrapText="1" readingOrder="1"/>
      <protection hidden="1"/>
    </xf>
    <xf numFmtId="0" fontId="68" fillId="12" borderId="0" xfId="0" applyFont="1" applyFill="1" applyAlignment="1" applyProtection="1">
      <alignment horizontal="center" wrapText="1" readingOrder="1"/>
      <protection hidden="1"/>
    </xf>
    <xf numFmtId="0" fontId="68" fillId="12" borderId="15" xfId="0" applyFont="1" applyFill="1" applyBorder="1" applyAlignment="1" applyProtection="1">
      <alignment horizontal="center" wrapText="1" readingOrder="1"/>
      <protection hidden="1"/>
    </xf>
    <xf numFmtId="0" fontId="68" fillId="12" borderId="16" xfId="0" applyFont="1" applyFill="1" applyBorder="1" applyAlignment="1" applyProtection="1">
      <alignment horizontal="center" wrapText="1" readingOrder="1"/>
      <protection hidden="1"/>
    </xf>
    <xf numFmtId="0" fontId="68" fillId="12" borderId="18" xfId="0" applyFont="1" applyFill="1" applyBorder="1" applyAlignment="1" applyProtection="1">
      <alignment horizontal="center" wrapText="1" readingOrder="1"/>
      <protection hidden="1"/>
    </xf>
    <xf numFmtId="0" fontId="68" fillId="12" borderId="17" xfId="0" applyFont="1" applyFill="1" applyBorder="1" applyAlignment="1" applyProtection="1">
      <alignment horizontal="center" wrapText="1" readingOrder="1"/>
      <protection hidden="1"/>
    </xf>
    <xf numFmtId="0" fontId="69" fillId="3" borderId="0" xfId="0" applyFont="1" applyFill="1"/>
    <xf numFmtId="0" fontId="56" fillId="3" borderId="0" xfId="0" applyFont="1" applyFill="1" applyAlignment="1" applyProtection="1">
      <alignment horizontal="center" vertical="center"/>
      <protection hidden="1"/>
    </xf>
    <xf numFmtId="0" fontId="56" fillId="3" borderId="0" xfId="0" applyFont="1" applyFill="1" applyAlignment="1" applyProtection="1">
      <alignment vertical="center"/>
      <protection hidden="1"/>
    </xf>
    <xf numFmtId="0" fontId="55" fillId="3" borderId="0" xfId="0" applyFont="1" applyFill="1" applyProtection="1">
      <protection hidden="1"/>
    </xf>
    <xf numFmtId="0" fontId="56" fillId="3" borderId="80" xfId="0" applyFont="1" applyFill="1" applyBorder="1" applyAlignment="1" applyProtection="1">
      <alignment horizontal="center" vertical="center"/>
      <protection hidden="1"/>
    </xf>
    <xf numFmtId="0" fontId="55" fillId="3" borderId="0" xfId="0" applyFont="1" applyFill="1" applyAlignment="1" applyProtection="1">
      <alignment horizontal="center" vertical="center"/>
      <protection hidden="1"/>
    </xf>
    <xf numFmtId="0" fontId="55" fillId="3" borderId="28" xfId="0" applyFont="1" applyFill="1" applyBorder="1" applyAlignment="1" applyProtection="1">
      <alignment horizontal="center" vertical="center"/>
      <protection hidden="1"/>
    </xf>
    <xf numFmtId="0" fontId="56" fillId="18" borderId="4" xfId="0" applyFont="1" applyFill="1" applyBorder="1" applyAlignment="1" applyProtection="1">
      <alignment horizontal="center" vertical="center" textRotation="90" wrapText="1"/>
      <protection hidden="1"/>
    </xf>
    <xf numFmtId="0" fontId="56" fillId="18" borderId="5" xfId="0" applyFont="1" applyFill="1" applyBorder="1" applyAlignment="1" applyProtection="1">
      <alignment horizontal="center" vertical="center" wrapText="1"/>
      <protection hidden="1"/>
    </xf>
    <xf numFmtId="0" fontId="56" fillId="18" borderId="2" xfId="0" applyFont="1" applyFill="1" applyBorder="1" applyAlignment="1" applyProtection="1">
      <alignment horizontal="center" vertical="center" textRotation="90"/>
      <protection hidden="1"/>
    </xf>
    <xf numFmtId="0" fontId="55" fillId="21" borderId="4" xfId="0" applyFont="1" applyFill="1" applyBorder="1" applyAlignment="1" applyProtection="1">
      <alignment horizontal="center" vertical="center" wrapText="1"/>
      <protection hidden="1"/>
    </xf>
    <xf numFmtId="0" fontId="55" fillId="0" borderId="4" xfId="0" applyFont="1" applyBorder="1" applyAlignment="1" applyProtection="1">
      <alignment horizontal="justify" vertical="center" wrapText="1"/>
      <protection hidden="1"/>
    </xf>
    <xf numFmtId="0" fontId="57" fillId="0" borderId="95" xfId="0" applyFont="1" applyBorder="1" applyAlignment="1" applyProtection="1">
      <alignment horizontal="justify" vertical="center" wrapText="1"/>
      <protection hidden="1"/>
    </xf>
    <xf numFmtId="0" fontId="56" fillId="0" borderId="4" xfId="0" applyFont="1" applyBorder="1" applyAlignment="1" applyProtection="1">
      <alignment horizontal="center" vertical="center" wrapText="1"/>
      <protection hidden="1"/>
    </xf>
    <xf numFmtId="9" fontId="55" fillId="22" borderId="4" xfId="0" applyNumberFormat="1" applyFont="1" applyFill="1" applyBorder="1" applyAlignment="1" applyProtection="1">
      <alignment horizontal="center" vertical="center" wrapText="1"/>
      <protection hidden="1"/>
    </xf>
    <xf numFmtId="9" fontId="55" fillId="21" borderId="4" xfId="0" applyNumberFormat="1" applyFont="1" applyFill="1" applyBorder="1" applyAlignment="1" applyProtection="1">
      <alignment horizontal="center" vertical="center" wrapText="1"/>
      <protection hidden="1"/>
    </xf>
    <xf numFmtId="0" fontId="56" fillId="0" borderId="4" xfId="0" applyFont="1" applyBorder="1" applyAlignment="1" applyProtection="1">
      <alignment horizontal="center" vertical="center"/>
      <protection hidden="1"/>
    </xf>
    <xf numFmtId="0" fontId="60" fillId="0" borderId="2" xfId="0" applyFont="1" applyBorder="1" applyAlignment="1" applyProtection="1">
      <alignment horizontal="center" vertical="center"/>
      <protection hidden="1"/>
    </xf>
    <xf numFmtId="0" fontId="55" fillId="0" borderId="2" xfId="0" applyFont="1" applyBorder="1" applyAlignment="1" applyProtection="1">
      <alignment horizontal="justify" vertical="center" wrapText="1"/>
      <protection hidden="1"/>
    </xf>
    <xf numFmtId="0" fontId="55" fillId="22" borderId="2" xfId="0" applyFont="1" applyFill="1" applyBorder="1" applyAlignment="1" applyProtection="1">
      <alignment horizontal="center" vertical="center"/>
      <protection hidden="1"/>
    </xf>
    <xf numFmtId="0" fontId="55" fillId="21" borderId="2" xfId="0" applyFont="1" applyFill="1" applyBorder="1" applyAlignment="1" applyProtection="1">
      <alignment horizontal="center" vertical="center" textRotation="90"/>
      <protection hidden="1"/>
    </xf>
    <xf numFmtId="9" fontId="55" fillId="22" borderId="2" xfId="0" applyNumberFormat="1" applyFont="1" applyFill="1" applyBorder="1" applyAlignment="1" applyProtection="1">
      <alignment horizontal="center" vertical="center"/>
      <protection hidden="1"/>
    </xf>
    <xf numFmtId="164" fontId="55" fillId="0" borderId="2" xfId="1" applyNumberFormat="1" applyFont="1" applyBorder="1" applyAlignment="1" applyProtection="1">
      <alignment horizontal="center" vertical="center"/>
      <protection hidden="1"/>
    </xf>
    <xf numFmtId="0" fontId="56" fillId="0" borderId="2" xfId="0" applyFont="1" applyBorder="1" applyAlignment="1" applyProtection="1">
      <alignment horizontal="center" vertical="center" textRotation="90" wrapText="1"/>
      <protection hidden="1"/>
    </xf>
    <xf numFmtId="9" fontId="55" fillId="22" borderId="4" xfId="0" applyNumberFormat="1" applyFont="1" applyFill="1" applyBorder="1" applyAlignment="1" applyProtection="1">
      <alignment horizontal="center" vertical="center"/>
      <protection hidden="1"/>
    </xf>
    <xf numFmtId="0" fontId="56" fillId="0" borderId="2" xfId="0" applyFont="1" applyBorder="1" applyAlignment="1" applyProtection="1">
      <alignment horizontal="center" vertical="center" textRotation="90"/>
      <protection hidden="1"/>
    </xf>
    <xf numFmtId="0" fontId="62" fillId="21" borderId="4" xfId="0" applyFont="1" applyFill="1" applyBorder="1" applyAlignment="1" applyProtection="1">
      <alignment horizontal="center" vertical="center" textRotation="90"/>
      <protection hidden="1"/>
    </xf>
    <xf numFmtId="0" fontId="55" fillId="0" borderId="2" xfId="0" applyFont="1" applyBorder="1" applyAlignment="1" applyProtection="1">
      <alignment horizontal="center" vertical="center" wrapText="1"/>
      <protection hidden="1"/>
    </xf>
    <xf numFmtId="0" fontId="55" fillId="0" borderId="2" xfId="0" applyFont="1" applyBorder="1" applyAlignment="1" applyProtection="1">
      <alignment horizontal="center" vertical="center"/>
      <protection hidden="1"/>
    </xf>
    <xf numFmtId="14" fontId="55" fillId="0" borderId="2" xfId="0" applyNumberFormat="1" applyFont="1" applyBorder="1" applyAlignment="1" applyProtection="1">
      <alignment horizontal="center" vertical="center"/>
      <protection hidden="1"/>
    </xf>
    <xf numFmtId="0" fontId="55" fillId="21" borderId="2" xfId="0" applyFont="1" applyFill="1" applyBorder="1" applyAlignment="1" applyProtection="1">
      <alignment horizontal="center" vertical="center"/>
      <protection hidden="1"/>
    </xf>
    <xf numFmtId="0" fontId="55" fillId="3" borderId="0" xfId="0" applyFont="1" applyFill="1" applyAlignment="1" applyProtection="1">
      <alignment vertical="center"/>
      <protection hidden="1"/>
    </xf>
    <xf numFmtId="0" fontId="57" fillId="0" borderId="4" xfId="0" applyFont="1" applyBorder="1" applyAlignment="1" applyProtection="1">
      <alignment horizontal="justify" vertical="center" wrapText="1"/>
      <protection hidden="1"/>
    </xf>
    <xf numFmtId="0" fontId="55" fillId="0" borderId="4" xfId="0" applyFont="1" applyBorder="1" applyAlignment="1" applyProtection="1">
      <alignment horizontal="center" vertical="center"/>
      <protection hidden="1"/>
    </xf>
    <xf numFmtId="0" fontId="62" fillId="21" borderId="101" xfId="0" applyFont="1" applyFill="1" applyBorder="1" applyAlignment="1" applyProtection="1">
      <alignment horizontal="center" vertical="center" textRotation="90"/>
      <protection hidden="1"/>
    </xf>
    <xf numFmtId="0" fontId="55" fillId="3" borderId="0" xfId="0" applyFont="1" applyFill="1" applyAlignment="1" applyProtection="1">
      <alignment horizontal="center"/>
      <protection hidden="1"/>
    </xf>
    <xf numFmtId="0" fontId="60" fillId="0" borderId="2" xfId="0" applyFont="1" applyBorder="1" applyAlignment="1" applyProtection="1">
      <alignment horizontal="center" vertical="center" wrapText="1"/>
      <protection hidden="1"/>
    </xf>
    <xf numFmtId="0" fontId="72" fillId="0" borderId="102" xfId="0" applyFont="1" applyBorder="1" applyAlignment="1" applyProtection="1">
      <alignment horizontal="justify" vertical="center" wrapText="1"/>
      <protection locked="0"/>
    </xf>
    <xf numFmtId="0" fontId="72" fillId="0" borderId="103" xfId="0" applyFont="1" applyBorder="1" applyAlignment="1" applyProtection="1">
      <alignment horizontal="justify" vertical="center" wrapText="1"/>
      <protection locked="0"/>
    </xf>
    <xf numFmtId="0" fontId="62" fillId="0" borderId="2" xfId="0" applyFont="1" applyBorder="1" applyAlignment="1" applyProtection="1">
      <alignment horizontal="justify" vertical="center" wrapText="1"/>
      <protection hidden="1"/>
    </xf>
    <xf numFmtId="0" fontId="55" fillId="0" borderId="4" xfId="0" applyFont="1" applyBorder="1" applyAlignment="1" applyProtection="1">
      <alignment vertical="center" wrapText="1"/>
      <protection hidden="1"/>
    </xf>
    <xf numFmtId="0" fontId="60" fillId="0" borderId="4" xfId="0" applyFont="1" applyBorder="1" applyAlignment="1" applyProtection="1">
      <alignment horizontal="center" vertical="center" wrapText="1"/>
      <protection hidden="1"/>
    </xf>
    <xf numFmtId="0" fontId="62" fillId="0" borderId="2" xfId="0" applyFont="1" applyBorder="1" applyAlignment="1" applyProtection="1">
      <alignment horizontal="justify" vertical="center" wrapText="1"/>
      <protection locked="0"/>
    </xf>
    <xf numFmtId="0" fontId="55" fillId="0" borderId="2" xfId="0" applyFont="1" applyBorder="1" applyAlignment="1" applyProtection="1">
      <alignment horizontal="center" vertical="center" wrapText="1"/>
      <protection locked="0"/>
    </xf>
    <xf numFmtId="14" fontId="55" fillId="0" borderId="2" xfId="0" applyNumberFormat="1" applyFont="1" applyBorder="1" applyAlignment="1" applyProtection="1">
      <alignment horizontal="center" vertical="center" wrapText="1"/>
      <protection hidden="1"/>
    </xf>
    <xf numFmtId="0" fontId="55" fillId="0" borderId="2" xfId="0" applyFont="1" applyBorder="1" applyAlignment="1" applyProtection="1">
      <alignment horizontal="justify" vertical="center" wrapText="1"/>
      <protection locked="0"/>
    </xf>
    <xf numFmtId="0" fontId="56" fillId="0" borderId="4" xfId="0" applyFont="1" applyBorder="1" applyAlignment="1" applyProtection="1">
      <alignment horizontal="center" vertical="center" textRotation="90" wrapText="1"/>
      <protection hidden="1"/>
    </xf>
    <xf numFmtId="0" fontId="56" fillId="0" borderId="4" xfId="0" applyFont="1" applyBorder="1" applyAlignment="1" applyProtection="1">
      <alignment horizontal="center" vertical="center" textRotation="90"/>
      <protection hidden="1"/>
    </xf>
    <xf numFmtId="11" fontId="55" fillId="0" borderId="2" xfId="0" applyNumberFormat="1" applyFont="1" applyBorder="1" applyAlignment="1" applyProtection="1">
      <alignment horizontal="justify" vertical="center" wrapText="1"/>
      <protection locked="0"/>
    </xf>
    <xf numFmtId="0" fontId="74" fillId="16" borderId="30" xfId="0" applyFont="1" applyFill="1" applyBorder="1" applyAlignment="1">
      <alignment horizontal="center" vertical="center" wrapText="1"/>
    </xf>
    <xf numFmtId="0" fontId="56" fillId="7" borderId="2" xfId="0" applyFont="1" applyFill="1" applyBorder="1" applyAlignment="1" applyProtection="1">
      <alignment horizontal="center" vertical="center" textRotation="90" wrapText="1"/>
      <protection hidden="1"/>
    </xf>
    <xf numFmtId="0" fontId="56" fillId="13" borderId="2" xfId="0" applyFont="1" applyFill="1" applyBorder="1" applyAlignment="1" applyProtection="1">
      <alignment horizontal="center" vertical="center" textRotation="90"/>
      <protection hidden="1"/>
    </xf>
    <xf numFmtId="0" fontId="75" fillId="0" borderId="30" xfId="0" applyFont="1" applyBorder="1" applyAlignment="1">
      <alignment horizontal="center" vertical="center" wrapText="1"/>
    </xf>
    <xf numFmtId="0" fontId="55" fillId="13" borderId="113" xfId="0" applyFont="1" applyFill="1" applyBorder="1" applyProtection="1">
      <protection hidden="1"/>
    </xf>
    <xf numFmtId="0" fontId="55" fillId="13" borderId="114" xfId="0" applyFont="1" applyFill="1" applyBorder="1" applyProtection="1">
      <protection hidden="1"/>
    </xf>
    <xf numFmtId="0" fontId="55" fillId="13" borderId="115" xfId="0" applyFont="1" applyFill="1" applyBorder="1" applyAlignment="1" applyProtection="1">
      <alignment horizontal="center" vertical="center" wrapText="1"/>
      <protection hidden="1"/>
    </xf>
    <xf numFmtId="0" fontId="56" fillId="0" borderId="93" xfId="0" applyFont="1" applyBorder="1" applyAlignment="1" applyProtection="1">
      <alignment horizontal="center" vertical="center"/>
      <protection hidden="1"/>
    </xf>
    <xf numFmtId="0" fontId="55" fillId="5" borderId="115" xfId="0" applyFont="1" applyFill="1" applyBorder="1" applyAlignment="1" applyProtection="1">
      <alignment wrapText="1"/>
      <protection hidden="1"/>
    </xf>
    <xf numFmtId="0" fontId="55" fillId="5" borderId="114" xfId="0" applyFont="1" applyFill="1" applyBorder="1" applyProtection="1">
      <protection hidden="1"/>
    </xf>
    <xf numFmtId="0" fontId="55" fillId="5" borderId="113" xfId="0" applyFont="1" applyFill="1" applyBorder="1" applyProtection="1">
      <protection hidden="1"/>
    </xf>
    <xf numFmtId="0" fontId="55" fillId="8" borderId="115" xfId="0" applyFont="1" applyFill="1" applyBorder="1" applyProtection="1">
      <protection hidden="1"/>
    </xf>
    <xf numFmtId="0" fontId="55" fillId="8" borderId="113" xfId="0" applyFont="1" applyFill="1" applyBorder="1" applyProtection="1">
      <protection hidden="1"/>
    </xf>
    <xf numFmtId="0" fontId="55" fillId="8" borderId="114" xfId="0" applyFont="1" applyFill="1" applyBorder="1" applyProtection="1">
      <protection hidden="1"/>
    </xf>
    <xf numFmtId="0" fontId="55" fillId="7" borderId="115" xfId="0" applyFont="1" applyFill="1" applyBorder="1" applyProtection="1">
      <protection hidden="1"/>
    </xf>
    <xf numFmtId="0" fontId="55" fillId="7" borderId="113" xfId="0" applyFont="1" applyFill="1" applyBorder="1" applyProtection="1">
      <protection hidden="1"/>
    </xf>
    <xf numFmtId="0" fontId="60" fillId="7" borderId="116" xfId="0" applyFont="1" applyFill="1" applyBorder="1" applyAlignment="1" applyProtection="1">
      <alignment horizontal="center" vertical="center" wrapText="1"/>
      <protection hidden="1"/>
    </xf>
    <xf numFmtId="0" fontId="55" fillId="7" borderId="114" xfId="0" applyFont="1" applyFill="1" applyBorder="1" applyProtection="1">
      <protection hidden="1"/>
    </xf>
    <xf numFmtId="0" fontId="55" fillId="12" borderId="113" xfId="0" applyFont="1" applyFill="1" applyBorder="1" applyProtection="1">
      <protection hidden="1"/>
    </xf>
    <xf numFmtId="0" fontId="55" fillId="12" borderId="114" xfId="0" applyFont="1" applyFill="1" applyBorder="1" applyProtection="1">
      <protection hidden="1"/>
    </xf>
    <xf numFmtId="0" fontId="55" fillId="12" borderId="115" xfId="0" applyFont="1" applyFill="1" applyBorder="1" applyAlignment="1" applyProtection="1">
      <alignment vertical="center" wrapText="1"/>
      <protection hidden="1"/>
    </xf>
    <xf numFmtId="0" fontId="55" fillId="16" borderId="113" xfId="0" applyFont="1" applyFill="1" applyBorder="1" applyProtection="1">
      <protection hidden="1"/>
    </xf>
    <xf numFmtId="0" fontId="55" fillId="16" borderId="114" xfId="0" applyFont="1" applyFill="1" applyBorder="1" applyProtection="1">
      <protection hidden="1"/>
    </xf>
    <xf numFmtId="0" fontId="55" fillId="16" borderId="115" xfId="0" applyFont="1" applyFill="1" applyBorder="1" applyAlignment="1" applyProtection="1">
      <alignment wrapText="1"/>
      <protection hidden="1"/>
    </xf>
    <xf numFmtId="0" fontId="55" fillId="25" borderId="113" xfId="0" applyFont="1" applyFill="1" applyBorder="1" applyProtection="1">
      <protection hidden="1"/>
    </xf>
    <xf numFmtId="0" fontId="55" fillId="25" borderId="114" xfId="0" applyFont="1" applyFill="1" applyBorder="1" applyProtection="1">
      <protection hidden="1"/>
    </xf>
    <xf numFmtId="0" fontId="55" fillId="25" borderId="115" xfId="0" applyFont="1" applyFill="1" applyBorder="1" applyAlignment="1" applyProtection="1">
      <alignment wrapText="1"/>
      <protection hidden="1"/>
    </xf>
    <xf numFmtId="0" fontId="55" fillId="14" borderId="113" xfId="0" applyFont="1" applyFill="1" applyBorder="1" applyProtection="1">
      <protection hidden="1"/>
    </xf>
    <xf numFmtId="0" fontId="55" fillId="14" borderId="114" xfId="0" applyFont="1" applyFill="1" applyBorder="1" applyProtection="1">
      <protection hidden="1"/>
    </xf>
    <xf numFmtId="0" fontId="55" fillId="14" borderId="115" xfId="0" applyFont="1" applyFill="1" applyBorder="1" applyAlignment="1" applyProtection="1">
      <alignment wrapText="1"/>
      <protection hidden="1"/>
    </xf>
    <xf numFmtId="0" fontId="55" fillId="26" borderId="114" xfId="0" applyFont="1" applyFill="1" applyBorder="1" applyProtection="1">
      <protection hidden="1"/>
    </xf>
    <xf numFmtId="0" fontId="55" fillId="26" borderId="115" xfId="0" applyFont="1" applyFill="1" applyBorder="1" applyAlignment="1" applyProtection="1">
      <alignment wrapText="1"/>
      <protection hidden="1"/>
    </xf>
    <xf numFmtId="0" fontId="55" fillId="19" borderId="115" xfId="0" applyFont="1" applyFill="1" applyBorder="1" applyProtection="1">
      <protection hidden="1"/>
    </xf>
    <xf numFmtId="0" fontId="55" fillId="19" borderId="113" xfId="0" applyFont="1" applyFill="1" applyBorder="1" applyProtection="1">
      <protection hidden="1"/>
    </xf>
    <xf numFmtId="0" fontId="55" fillId="19" borderId="114" xfId="0" applyFont="1" applyFill="1" applyBorder="1" applyProtection="1">
      <protection hidden="1"/>
    </xf>
    <xf numFmtId="0" fontId="55" fillId="27" borderId="113" xfId="0" applyFont="1" applyFill="1" applyBorder="1" applyProtection="1">
      <protection hidden="1"/>
    </xf>
    <xf numFmtId="0" fontId="55" fillId="27" borderId="114" xfId="0" applyFont="1" applyFill="1" applyBorder="1" applyProtection="1">
      <protection hidden="1"/>
    </xf>
    <xf numFmtId="0" fontId="55" fillId="27" borderId="115" xfId="0" applyFont="1" applyFill="1" applyBorder="1" applyAlignment="1" applyProtection="1">
      <alignment wrapText="1"/>
      <protection hidden="1"/>
    </xf>
    <xf numFmtId="0" fontId="55" fillId="23" borderId="115" xfId="0" applyFont="1" applyFill="1" applyBorder="1" applyAlignment="1" applyProtection="1">
      <alignment wrapText="1"/>
      <protection hidden="1"/>
    </xf>
    <xf numFmtId="0" fontId="55" fillId="23" borderId="113" xfId="0" applyFont="1" applyFill="1" applyBorder="1" applyProtection="1">
      <protection hidden="1"/>
    </xf>
    <xf numFmtId="0" fontId="55" fillId="23" borderId="114" xfId="0" applyFont="1" applyFill="1" applyBorder="1" applyProtection="1">
      <protection hidden="1"/>
    </xf>
    <xf numFmtId="0" fontId="55" fillId="24" borderId="115" xfId="0" applyFont="1" applyFill="1" applyBorder="1" applyAlignment="1" applyProtection="1">
      <alignment wrapText="1"/>
      <protection hidden="1"/>
    </xf>
    <xf numFmtId="0" fontId="55" fillId="24" borderId="113" xfId="0" applyFont="1" applyFill="1" applyBorder="1" applyProtection="1">
      <protection hidden="1"/>
    </xf>
    <xf numFmtId="0" fontId="55" fillId="20" borderId="113" xfId="0" applyFont="1" applyFill="1" applyBorder="1" applyAlignment="1" applyProtection="1">
      <alignment wrapText="1"/>
      <protection hidden="1"/>
    </xf>
    <xf numFmtId="0" fontId="55" fillId="20" borderId="113" xfId="0" applyFont="1" applyFill="1" applyBorder="1" applyProtection="1">
      <protection hidden="1"/>
    </xf>
    <xf numFmtId="0" fontId="55" fillId="20" borderId="114" xfId="0" applyFont="1" applyFill="1" applyBorder="1" applyProtection="1">
      <protection hidden="1"/>
    </xf>
    <xf numFmtId="0" fontId="55" fillId="18" borderId="113" xfId="0" applyFont="1" applyFill="1" applyBorder="1" applyProtection="1">
      <protection hidden="1"/>
    </xf>
    <xf numFmtId="0" fontId="55" fillId="18" borderId="114" xfId="0" applyFont="1" applyFill="1" applyBorder="1" applyProtection="1">
      <protection hidden="1"/>
    </xf>
    <xf numFmtId="0" fontId="55" fillId="18" borderId="115" xfId="0" applyFont="1" applyFill="1" applyBorder="1" applyAlignment="1" applyProtection="1">
      <alignment wrapText="1"/>
      <protection hidden="1"/>
    </xf>
    <xf numFmtId="0" fontId="55" fillId="28" borderId="110" xfId="0" applyFont="1" applyFill="1" applyBorder="1" applyAlignment="1" applyProtection="1">
      <alignment wrapText="1"/>
      <protection hidden="1"/>
    </xf>
    <xf numFmtId="0" fontId="55" fillId="29" borderId="113" xfId="0" applyFont="1" applyFill="1" applyBorder="1" applyProtection="1">
      <protection hidden="1"/>
    </xf>
    <xf numFmtId="0" fontId="55" fillId="29" borderId="114" xfId="0" applyFont="1" applyFill="1" applyBorder="1" applyProtection="1">
      <protection hidden="1"/>
    </xf>
    <xf numFmtId="0" fontId="55" fillId="29" borderId="115" xfId="0" applyFont="1" applyFill="1" applyBorder="1" applyAlignment="1" applyProtection="1">
      <alignment wrapText="1"/>
      <protection hidden="1"/>
    </xf>
    <xf numFmtId="0" fontId="60" fillId="15" borderId="118" xfId="0" applyFont="1" applyFill="1" applyBorder="1" applyAlignment="1" applyProtection="1">
      <alignment horizontal="center" vertical="center" wrapText="1"/>
      <protection hidden="1"/>
    </xf>
    <xf numFmtId="0" fontId="60" fillId="15" borderId="116" xfId="0" applyFont="1" applyFill="1" applyBorder="1" applyAlignment="1" applyProtection="1">
      <alignment horizontal="center" vertical="center" wrapText="1"/>
      <protection hidden="1"/>
    </xf>
    <xf numFmtId="0" fontId="60" fillId="15" borderId="119" xfId="0" applyFont="1" applyFill="1" applyBorder="1" applyAlignment="1" applyProtection="1">
      <alignment horizontal="center" vertical="center" wrapText="1"/>
      <protection hidden="1"/>
    </xf>
    <xf numFmtId="0" fontId="46" fillId="14" borderId="45" xfId="2" applyFont="1" applyFill="1" applyBorder="1" applyAlignment="1">
      <alignment horizontal="center" vertical="center" wrapText="1"/>
    </xf>
    <xf numFmtId="0" fontId="46" fillId="14" borderId="46" xfId="2" applyFont="1" applyFill="1" applyBorder="1" applyAlignment="1">
      <alignment horizontal="center" vertical="center" wrapText="1"/>
    </xf>
    <xf numFmtId="0" fontId="46" fillId="14" borderId="47" xfId="2" applyFont="1" applyFill="1" applyBorder="1" applyAlignment="1">
      <alignment horizontal="center" vertical="center" wrapText="1"/>
    </xf>
    <xf numFmtId="0" fontId="45" fillId="0" borderId="14" xfId="2" quotePrefix="1" applyFont="1" applyBorder="1" applyAlignment="1">
      <alignment horizontal="left" vertical="center" wrapText="1"/>
    </xf>
    <xf numFmtId="0" fontId="45" fillId="0" borderId="0" xfId="2" quotePrefix="1" applyFont="1" applyAlignment="1">
      <alignment horizontal="left" vertical="center" wrapText="1"/>
    </xf>
    <xf numFmtId="0" fontId="45" fillId="0" borderId="15" xfId="2" quotePrefix="1" applyFont="1" applyBorder="1" applyAlignment="1">
      <alignment horizontal="left" vertical="center" wrapText="1"/>
    </xf>
    <xf numFmtId="0" fontId="45" fillId="0" borderId="65" xfId="2" quotePrefix="1" applyFont="1" applyBorder="1" applyAlignment="1">
      <alignment horizontal="left" vertical="center" wrapText="1"/>
    </xf>
    <xf numFmtId="0" fontId="45" fillId="0" borderId="66" xfId="2" quotePrefix="1" applyFont="1" applyBorder="1" applyAlignment="1">
      <alignment horizontal="left" vertical="center" wrapText="1"/>
    </xf>
    <xf numFmtId="0" fontId="45" fillId="0" borderId="67" xfId="2" quotePrefix="1" applyFont="1" applyBorder="1" applyAlignment="1">
      <alignment horizontal="left" vertical="center" wrapText="1"/>
    </xf>
    <xf numFmtId="0" fontId="47" fillId="3" borderId="48" xfId="2" quotePrefix="1" applyFont="1" applyFill="1" applyBorder="1" applyAlignment="1">
      <alignment horizontal="left" vertical="top" wrapText="1"/>
    </xf>
    <xf numFmtId="0" fontId="48" fillId="3" borderId="49" xfId="2" quotePrefix="1" applyFont="1" applyFill="1" applyBorder="1" applyAlignment="1">
      <alignment horizontal="left" vertical="top" wrapText="1"/>
    </xf>
    <xf numFmtId="0" fontId="48" fillId="3" borderId="50" xfId="2" quotePrefix="1" applyFont="1" applyFill="1" applyBorder="1" applyAlignment="1">
      <alignment horizontal="left" vertical="top" wrapText="1"/>
    </xf>
    <xf numFmtId="0" fontId="45" fillId="0" borderId="14" xfId="2" quotePrefix="1" applyFont="1" applyBorder="1" applyAlignment="1">
      <alignment horizontal="left" vertical="top" wrapText="1"/>
    </xf>
    <xf numFmtId="0" fontId="45" fillId="0" borderId="0" xfId="2" quotePrefix="1" applyFont="1" applyAlignment="1">
      <alignment horizontal="left" vertical="top" wrapText="1"/>
    </xf>
    <xf numFmtId="0" fontId="45" fillId="0" borderId="15" xfId="2" quotePrefix="1" applyFont="1" applyBorder="1" applyAlignment="1">
      <alignment horizontal="left" vertical="top" wrapText="1"/>
    </xf>
    <xf numFmtId="0" fontId="50" fillId="14" borderId="51" xfId="3" applyFont="1" applyFill="1" applyBorder="1" applyAlignment="1">
      <alignment horizontal="center" vertical="center" wrapText="1"/>
    </xf>
    <xf numFmtId="0" fontId="50" fillId="14" borderId="52" xfId="3" applyFont="1" applyFill="1" applyBorder="1" applyAlignment="1">
      <alignment horizontal="center" vertical="center" wrapText="1"/>
    </xf>
    <xf numFmtId="0" fontId="50" fillId="14" borderId="53" xfId="2" applyFont="1" applyFill="1" applyBorder="1" applyAlignment="1">
      <alignment horizontal="center" vertical="center"/>
    </xf>
    <xf numFmtId="0" fontId="50" fillId="14" borderId="54" xfId="2" applyFont="1" applyFill="1" applyBorder="1" applyAlignment="1">
      <alignment horizontal="center" vertical="center"/>
    </xf>
    <xf numFmtId="0" fontId="1" fillId="3" borderId="65" xfId="2" quotePrefix="1" applyFont="1" applyFill="1" applyBorder="1" applyAlignment="1">
      <alignment horizontal="justify" vertical="center" wrapText="1"/>
    </xf>
    <xf numFmtId="0" fontId="1" fillId="3" borderId="66" xfId="2" quotePrefix="1" applyFont="1" applyFill="1" applyBorder="1" applyAlignment="1">
      <alignment horizontal="justify" vertical="center" wrapText="1"/>
    </xf>
    <xf numFmtId="0" fontId="1" fillId="3" borderId="67" xfId="2" quotePrefix="1" applyFont="1" applyFill="1" applyBorder="1" applyAlignment="1">
      <alignment horizontal="justify" vertical="center" wrapText="1"/>
    </xf>
    <xf numFmtId="0" fontId="50" fillId="3" borderId="55" xfId="3" applyFont="1" applyFill="1" applyBorder="1" applyAlignment="1">
      <alignment horizontal="left" vertical="top" wrapText="1" readingOrder="1"/>
    </xf>
    <xf numFmtId="0" fontId="50" fillId="3" borderId="56" xfId="3" applyFont="1" applyFill="1" applyBorder="1" applyAlignment="1">
      <alignment horizontal="left" vertical="top" wrapText="1" readingOrder="1"/>
    </xf>
    <xf numFmtId="0" fontId="51" fillId="3" borderId="57" xfId="2" applyFont="1" applyFill="1" applyBorder="1" applyAlignment="1">
      <alignment horizontal="justify" vertical="center" wrapText="1"/>
    </xf>
    <xf numFmtId="0" fontId="51" fillId="3" borderId="58" xfId="2" applyFont="1" applyFill="1" applyBorder="1" applyAlignment="1">
      <alignment horizontal="justify" vertical="center" wrapText="1"/>
    </xf>
    <xf numFmtId="0" fontId="50" fillId="3" borderId="59" xfId="0" applyFont="1" applyFill="1" applyBorder="1" applyAlignment="1">
      <alignment horizontal="left" vertical="center" wrapText="1"/>
    </xf>
    <xf numFmtId="0" fontId="50" fillId="3" borderId="60" xfId="0" applyFont="1" applyFill="1" applyBorder="1" applyAlignment="1">
      <alignment horizontal="left" vertical="center" wrapText="1"/>
    </xf>
    <xf numFmtId="0" fontId="51" fillId="3" borderId="61" xfId="2" applyFont="1" applyFill="1" applyBorder="1" applyAlignment="1">
      <alignment horizontal="justify" vertical="center" wrapText="1"/>
    </xf>
    <xf numFmtId="0" fontId="51" fillId="3" borderId="62" xfId="2" applyFont="1" applyFill="1" applyBorder="1" applyAlignment="1">
      <alignment horizontal="justify" vertical="center" wrapText="1"/>
    </xf>
    <xf numFmtId="0" fontId="45" fillId="3" borderId="14" xfId="2" applyFont="1" applyFill="1" applyBorder="1" applyAlignment="1">
      <alignment horizontal="left" vertical="top" wrapText="1"/>
    </xf>
    <xf numFmtId="0" fontId="45" fillId="3" borderId="0" xfId="2" applyFont="1" applyFill="1" applyAlignment="1">
      <alignment horizontal="left" vertical="top" wrapText="1"/>
    </xf>
    <xf numFmtId="0" fontId="45" fillId="3" borderId="15" xfId="2" applyFont="1" applyFill="1" applyBorder="1" applyAlignment="1">
      <alignment horizontal="left" vertical="top" wrapText="1"/>
    </xf>
    <xf numFmtId="0" fontId="50" fillId="3" borderId="68" xfId="0" applyFont="1" applyFill="1" applyBorder="1" applyAlignment="1">
      <alignment horizontal="left" vertical="center" wrapText="1"/>
    </xf>
    <xf numFmtId="0" fontId="50" fillId="3" borderId="69" xfId="0" applyFont="1" applyFill="1" applyBorder="1" applyAlignment="1">
      <alignment horizontal="left" vertical="center" wrapText="1"/>
    </xf>
    <xf numFmtId="0" fontId="50" fillId="3" borderId="70" xfId="0" applyFont="1" applyFill="1" applyBorder="1" applyAlignment="1">
      <alignment horizontal="left" vertical="center" wrapText="1"/>
    </xf>
    <xf numFmtId="0" fontId="50" fillId="3" borderId="71" xfId="0" applyFont="1" applyFill="1" applyBorder="1" applyAlignment="1">
      <alignment horizontal="left" vertical="center" wrapText="1"/>
    </xf>
    <xf numFmtId="0" fontId="51" fillId="3" borderId="63" xfId="0" applyFont="1" applyFill="1" applyBorder="1" applyAlignment="1">
      <alignment horizontal="justify" vertical="center" wrapText="1"/>
    </xf>
    <xf numFmtId="0" fontId="51" fillId="3" borderId="64" xfId="0" applyFont="1" applyFill="1" applyBorder="1" applyAlignment="1">
      <alignment horizontal="justify" vertical="center" wrapText="1"/>
    </xf>
    <xf numFmtId="0" fontId="73" fillId="16" borderId="30" xfId="0" applyFont="1" applyFill="1" applyBorder="1" applyAlignment="1">
      <alignment horizontal="center" vertical="center" wrapText="1"/>
    </xf>
    <xf numFmtId="0" fontId="61" fillId="16" borderId="30" xfId="0" applyFont="1" applyFill="1" applyBorder="1" applyAlignment="1" applyProtection="1">
      <alignment horizontal="center"/>
      <protection hidden="1"/>
    </xf>
    <xf numFmtId="14" fontId="74" fillId="16" borderId="30" xfId="0" applyNumberFormat="1" applyFont="1" applyFill="1" applyBorder="1" applyAlignment="1">
      <alignment horizontal="center" vertical="center" wrapText="1"/>
    </xf>
    <xf numFmtId="14" fontId="75" fillId="0" borderId="30" xfId="0" applyNumberFormat="1" applyFont="1" applyBorder="1" applyAlignment="1">
      <alignment horizontal="center" vertical="center" wrapText="1"/>
    </xf>
    <xf numFmtId="0" fontId="55" fillId="3" borderId="30" xfId="0" applyFont="1" applyFill="1" applyBorder="1" applyAlignment="1" applyProtection="1">
      <alignment horizontal="left"/>
      <protection hidden="1"/>
    </xf>
    <xf numFmtId="0" fontId="56" fillId="0" borderId="4" xfId="0" applyFont="1" applyBorder="1" applyAlignment="1" applyProtection="1">
      <alignment horizontal="center" vertical="center" textRotation="90" wrapText="1"/>
      <protection hidden="1"/>
    </xf>
    <xf numFmtId="0" fontId="56" fillId="0" borderId="5" xfId="0" applyFont="1" applyBorder="1" applyAlignment="1" applyProtection="1">
      <alignment horizontal="center" vertical="center" textRotation="90" wrapText="1"/>
      <protection hidden="1"/>
    </xf>
    <xf numFmtId="0" fontId="56" fillId="0" borderId="4" xfId="0" applyFont="1" applyBorder="1" applyAlignment="1" applyProtection="1">
      <alignment horizontal="center" vertical="center" textRotation="90"/>
      <protection hidden="1"/>
    </xf>
    <xf numFmtId="0" fontId="56" fillId="0" borderId="5" xfId="0" applyFont="1" applyBorder="1" applyAlignment="1" applyProtection="1">
      <alignment horizontal="center" vertical="center" textRotation="90"/>
      <protection hidden="1"/>
    </xf>
    <xf numFmtId="0" fontId="56" fillId="0" borderId="8" xfId="0" applyFont="1" applyBorder="1" applyAlignment="1" applyProtection="1">
      <alignment horizontal="center" vertical="center" textRotation="90" wrapText="1"/>
      <protection hidden="1"/>
    </xf>
    <xf numFmtId="164" fontId="55" fillId="0" borderId="4" xfId="1" applyNumberFormat="1" applyFont="1" applyBorder="1" applyAlignment="1" applyProtection="1">
      <alignment horizontal="center" vertical="center"/>
      <protection hidden="1"/>
    </xf>
    <xf numFmtId="164" fontId="55" fillId="0" borderId="5" xfId="1" applyNumberFormat="1" applyFont="1" applyBorder="1" applyAlignment="1" applyProtection="1">
      <alignment horizontal="center" vertical="center"/>
      <protection hidden="1"/>
    </xf>
    <xf numFmtId="9" fontId="55" fillId="21" borderId="4" xfId="0" applyNumberFormat="1" applyFont="1" applyFill="1" applyBorder="1" applyAlignment="1" applyProtection="1">
      <alignment horizontal="center" vertical="center" wrapText="1"/>
      <protection hidden="1"/>
    </xf>
    <xf numFmtId="9" fontId="55" fillId="21" borderId="8" xfId="0" applyNumberFormat="1" applyFont="1" applyFill="1" applyBorder="1" applyAlignment="1" applyProtection="1">
      <alignment horizontal="center" vertical="center" wrapText="1"/>
      <protection hidden="1"/>
    </xf>
    <xf numFmtId="9" fontId="55" fillId="22" borderId="4" xfId="0" applyNumberFormat="1" applyFont="1" applyFill="1" applyBorder="1" applyAlignment="1" applyProtection="1">
      <alignment horizontal="center" vertical="center" wrapText="1"/>
      <protection hidden="1"/>
    </xf>
    <xf numFmtId="9" fontId="55" fillId="22" borderId="8" xfId="0" applyNumberFormat="1" applyFont="1" applyFill="1" applyBorder="1" applyAlignment="1" applyProtection="1">
      <alignment horizontal="center" vertical="center" wrapText="1"/>
      <protection hidden="1"/>
    </xf>
    <xf numFmtId="0" fontId="56" fillId="0" borderId="4" xfId="0" applyFont="1" applyBorder="1" applyAlignment="1" applyProtection="1">
      <alignment horizontal="center" vertical="center" wrapText="1"/>
      <protection hidden="1"/>
    </xf>
    <xf numFmtId="0" fontId="56" fillId="0" borderId="8" xfId="0" applyFont="1" applyBorder="1" applyAlignment="1" applyProtection="1">
      <alignment horizontal="center" vertical="center" wrapText="1"/>
      <protection hidden="1"/>
    </xf>
    <xf numFmtId="0" fontId="56" fillId="0" borderId="4" xfId="0" applyFont="1" applyBorder="1" applyAlignment="1" applyProtection="1">
      <alignment horizontal="center" vertical="center"/>
      <protection hidden="1"/>
    </xf>
    <xf numFmtId="0" fontId="56" fillId="0" borderId="8" xfId="0" applyFont="1" applyBorder="1" applyAlignment="1" applyProtection="1">
      <alignment horizontal="center" vertical="center"/>
      <protection hidden="1"/>
    </xf>
    <xf numFmtId="9" fontId="55" fillId="22" borderId="4" xfId="0" applyNumberFormat="1" applyFont="1" applyFill="1" applyBorder="1" applyAlignment="1" applyProtection="1">
      <alignment horizontal="center" vertical="center"/>
      <protection hidden="1"/>
    </xf>
    <xf numFmtId="9" fontId="55" fillId="22" borderId="5" xfId="0" applyNumberFormat="1" applyFont="1" applyFill="1" applyBorder="1" applyAlignment="1" applyProtection="1">
      <alignment horizontal="center" vertical="center"/>
      <protection hidden="1"/>
    </xf>
    <xf numFmtId="0" fontId="55" fillId="21" borderId="4" xfId="0" applyFont="1" applyFill="1" applyBorder="1" applyAlignment="1" applyProtection="1">
      <alignment horizontal="center" vertical="center" textRotation="90"/>
      <protection hidden="1"/>
    </xf>
    <xf numFmtId="0" fontId="55" fillId="21" borderId="5" xfId="0" applyFont="1" applyFill="1" applyBorder="1" applyAlignment="1" applyProtection="1">
      <alignment horizontal="center" vertical="center" textRotation="90"/>
      <protection hidden="1"/>
    </xf>
    <xf numFmtId="0" fontId="56" fillId="0" borderId="93" xfId="0" applyFont="1" applyBorder="1" applyAlignment="1" applyProtection="1">
      <alignment horizontal="center" vertical="center"/>
      <protection hidden="1"/>
    </xf>
    <xf numFmtId="0" fontId="56" fillId="0" borderId="94" xfId="0" applyFont="1" applyBorder="1" applyAlignment="1" applyProtection="1">
      <alignment horizontal="center" vertical="center"/>
      <protection hidden="1"/>
    </xf>
    <xf numFmtId="0" fontId="55" fillId="21" borderId="4" xfId="0" applyFont="1" applyFill="1" applyBorder="1" applyAlignment="1" applyProtection="1">
      <alignment horizontal="center" vertical="center" wrapText="1"/>
      <protection hidden="1"/>
    </xf>
    <xf numFmtId="0" fontId="55" fillId="21" borderId="8" xfId="0" applyFont="1" applyFill="1" applyBorder="1" applyAlignment="1" applyProtection="1">
      <alignment horizontal="center" vertical="center" wrapText="1"/>
      <protection hidden="1"/>
    </xf>
    <xf numFmtId="0" fontId="55" fillId="0" borderId="4" xfId="0" applyFont="1" applyBorder="1" applyAlignment="1" applyProtection="1">
      <alignment horizontal="justify" vertical="center" wrapText="1"/>
      <protection hidden="1"/>
    </xf>
    <xf numFmtId="0" fontId="55" fillId="0" borderId="8" xfId="0" applyFont="1" applyBorder="1" applyAlignment="1" applyProtection="1">
      <alignment horizontal="justify" vertical="center" wrapText="1"/>
      <protection hidden="1"/>
    </xf>
    <xf numFmtId="0" fontId="57" fillId="0" borderId="95" xfId="0" applyFont="1" applyBorder="1" applyAlignment="1" applyProtection="1">
      <alignment horizontal="justify" vertical="center" wrapText="1"/>
      <protection hidden="1"/>
    </xf>
    <xf numFmtId="0" fontId="57" fillId="0" borderId="96" xfId="0" applyFont="1" applyBorder="1" applyAlignment="1" applyProtection="1">
      <alignment horizontal="justify" vertical="center" wrapText="1"/>
      <protection hidden="1"/>
    </xf>
    <xf numFmtId="0" fontId="55" fillId="0" borderId="4" xfId="0" applyFont="1" applyBorder="1" applyAlignment="1" applyProtection="1">
      <alignment horizontal="center" vertical="center"/>
      <protection hidden="1"/>
    </xf>
    <xf numFmtId="0" fontId="55" fillId="0" borderId="8" xfId="0" applyFont="1" applyBorder="1" applyAlignment="1" applyProtection="1">
      <alignment horizontal="center" vertical="center"/>
      <protection hidden="1"/>
    </xf>
    <xf numFmtId="0" fontId="62" fillId="21" borderId="4" xfId="0" applyFont="1" applyFill="1" applyBorder="1" applyAlignment="1" applyProtection="1">
      <alignment horizontal="center" vertical="center" textRotation="90"/>
      <protection hidden="1"/>
    </xf>
    <xf numFmtId="0" fontId="62" fillId="21" borderId="5" xfId="0" applyFont="1" applyFill="1" applyBorder="1" applyAlignment="1" applyProtection="1">
      <alignment horizontal="center" vertical="center" textRotation="90"/>
      <protection hidden="1"/>
    </xf>
    <xf numFmtId="0" fontId="55" fillId="0" borderId="98" xfId="0" applyFont="1" applyBorder="1" applyAlignment="1" applyProtection="1">
      <alignment horizontal="justify" vertical="center" wrapText="1"/>
      <protection hidden="1"/>
    </xf>
    <xf numFmtId="0" fontId="55" fillId="0" borderId="99" xfId="0" applyFont="1" applyBorder="1" applyAlignment="1" applyProtection="1">
      <alignment horizontal="justify" vertical="center" wrapText="1"/>
      <protection hidden="1"/>
    </xf>
    <xf numFmtId="0" fontId="55" fillId="0" borderId="100" xfId="0" applyFont="1" applyBorder="1" applyAlignment="1" applyProtection="1">
      <alignment horizontal="justify" vertical="center" wrapText="1"/>
      <protection hidden="1"/>
    </xf>
    <xf numFmtId="0" fontId="57" fillId="0" borderId="97" xfId="0" applyFont="1" applyBorder="1" applyAlignment="1" applyProtection="1">
      <alignment horizontal="justify" vertical="center" wrapText="1"/>
      <protection hidden="1"/>
    </xf>
    <xf numFmtId="0" fontId="55" fillId="22" borderId="4" xfId="0" applyFont="1" applyFill="1" applyBorder="1" applyAlignment="1" applyProtection="1">
      <alignment horizontal="center" vertical="center"/>
      <protection hidden="1"/>
    </xf>
    <xf numFmtId="0" fontId="55" fillId="22" borderId="5" xfId="0" applyFont="1" applyFill="1" applyBorder="1" applyAlignment="1" applyProtection="1">
      <alignment horizontal="center" vertical="center"/>
      <protection hidden="1"/>
    </xf>
    <xf numFmtId="0" fontId="57" fillId="0" borderId="4" xfId="0" applyFont="1" applyBorder="1" applyAlignment="1" applyProtection="1">
      <alignment horizontal="justify" vertical="center" wrapText="1"/>
      <protection hidden="1"/>
    </xf>
    <xf numFmtId="0" fontId="57" fillId="0" borderId="8" xfId="0" applyFont="1" applyBorder="1" applyAlignment="1" applyProtection="1">
      <alignment horizontal="justify" vertical="center" wrapText="1"/>
      <protection hidden="1"/>
    </xf>
    <xf numFmtId="0" fontId="56" fillId="0" borderId="109" xfId="0" applyFont="1" applyBorder="1" applyAlignment="1" applyProtection="1">
      <alignment horizontal="center" vertical="center"/>
      <protection hidden="1"/>
    </xf>
    <xf numFmtId="0" fontId="56" fillId="0" borderId="111" xfId="0" applyFont="1" applyBorder="1" applyAlignment="1" applyProtection="1">
      <alignment horizontal="center" vertical="center"/>
      <protection hidden="1"/>
    </xf>
    <xf numFmtId="0" fontId="56" fillId="0" borderId="112" xfId="0" applyFont="1" applyBorder="1" applyAlignment="1" applyProtection="1">
      <alignment horizontal="center" vertical="center"/>
      <protection hidden="1"/>
    </xf>
    <xf numFmtId="0" fontId="55" fillId="0" borderId="4" xfId="0" applyFont="1" applyBorder="1" applyAlignment="1" applyProtection="1">
      <alignment horizontal="center" vertical="center" wrapText="1"/>
      <protection hidden="1"/>
    </xf>
    <xf numFmtId="0" fontId="55" fillId="0" borderId="8" xfId="0" applyFont="1" applyBorder="1" applyAlignment="1" applyProtection="1">
      <alignment horizontal="center" vertical="center" wrapText="1"/>
      <protection hidden="1"/>
    </xf>
    <xf numFmtId="0" fontId="57" fillId="0" borderId="95" xfId="0" applyFont="1" applyBorder="1" applyAlignment="1" applyProtection="1">
      <alignment horizontal="center" vertical="center" wrapText="1"/>
      <protection hidden="1"/>
    </xf>
    <xf numFmtId="0" fontId="57" fillId="0" borderId="96" xfId="0" applyFont="1" applyBorder="1" applyAlignment="1" applyProtection="1">
      <alignment horizontal="center" vertical="center" wrapText="1"/>
      <protection hidden="1"/>
    </xf>
    <xf numFmtId="0" fontId="57" fillId="0" borderId="97" xfId="0" applyFont="1" applyBorder="1" applyAlignment="1" applyProtection="1">
      <alignment horizontal="center" vertical="center" wrapText="1"/>
      <protection hidden="1"/>
    </xf>
    <xf numFmtId="0" fontId="54" fillId="3" borderId="77" xfId="0" applyFont="1" applyFill="1" applyBorder="1" applyAlignment="1" applyProtection="1">
      <alignment horizontal="center" vertical="center"/>
      <protection locked="0"/>
    </xf>
    <xf numFmtId="0" fontId="54" fillId="3" borderId="84" xfId="0" applyFont="1" applyFill="1" applyBorder="1" applyAlignment="1" applyProtection="1">
      <alignment horizontal="center" vertical="center"/>
      <protection locked="0"/>
    </xf>
    <xf numFmtId="0" fontId="54" fillId="3" borderId="82" xfId="0" applyFont="1" applyFill="1" applyBorder="1" applyAlignment="1" applyProtection="1">
      <alignment horizontal="center" vertical="center"/>
      <protection locked="0"/>
    </xf>
    <xf numFmtId="14" fontId="54" fillId="3" borderId="88" xfId="0" applyNumberFormat="1" applyFont="1" applyFill="1" applyBorder="1" applyAlignment="1" applyProtection="1">
      <alignment horizontal="center" vertical="center"/>
      <protection locked="0"/>
    </xf>
    <xf numFmtId="0" fontId="54" fillId="3" borderId="85" xfId="0" applyFont="1" applyFill="1" applyBorder="1" applyAlignment="1" applyProtection="1">
      <alignment horizontal="center" vertical="center"/>
      <protection locked="0"/>
    </xf>
    <xf numFmtId="0" fontId="55" fillId="3" borderId="60" xfId="0" applyFont="1" applyFill="1" applyBorder="1" applyAlignment="1" applyProtection="1">
      <alignment horizontal="center"/>
      <protection hidden="1"/>
    </xf>
    <xf numFmtId="0" fontId="55" fillId="3" borderId="81" xfId="0" applyFont="1" applyFill="1" applyBorder="1" applyAlignment="1" applyProtection="1">
      <alignment horizontal="center"/>
      <protection hidden="1"/>
    </xf>
    <xf numFmtId="0" fontId="55" fillId="3" borderId="89" xfId="0" applyFont="1" applyFill="1" applyBorder="1" applyAlignment="1" applyProtection="1">
      <alignment horizontal="center"/>
      <protection hidden="1"/>
    </xf>
    <xf numFmtId="0" fontId="55" fillId="3" borderId="87" xfId="0" applyFont="1" applyFill="1" applyBorder="1" applyAlignment="1" applyProtection="1">
      <alignment horizontal="center"/>
      <protection hidden="1"/>
    </xf>
    <xf numFmtId="0" fontId="59" fillId="0" borderId="77" xfId="0" applyFont="1" applyBorder="1" applyAlignment="1" applyProtection="1">
      <alignment horizontal="center" vertical="center"/>
      <protection locked="0"/>
    </xf>
    <xf numFmtId="0" fontId="59" fillId="0" borderId="83" xfId="0" applyFont="1" applyBorder="1" applyAlignment="1" applyProtection="1">
      <alignment horizontal="center" vertical="center"/>
      <protection locked="0"/>
    </xf>
    <xf numFmtId="0" fontId="59" fillId="0" borderId="84" xfId="0" applyFont="1" applyBorder="1" applyAlignment="1" applyProtection="1">
      <alignment horizontal="center" vertical="center"/>
      <protection locked="0"/>
    </xf>
    <xf numFmtId="0" fontId="54" fillId="3" borderId="88" xfId="0" applyFont="1" applyFill="1" applyBorder="1" applyAlignment="1" applyProtection="1">
      <alignment horizontal="center"/>
      <protection locked="0"/>
    </xf>
    <xf numFmtId="0" fontId="54" fillId="3" borderId="86" xfId="0" applyFont="1" applyFill="1" applyBorder="1" applyAlignment="1" applyProtection="1">
      <alignment horizontal="center"/>
      <protection locked="0"/>
    </xf>
    <xf numFmtId="0" fontId="54" fillId="3" borderId="92" xfId="0" applyFont="1" applyFill="1" applyBorder="1" applyAlignment="1" applyProtection="1">
      <alignment horizontal="center"/>
      <protection locked="0"/>
    </xf>
    <xf numFmtId="0" fontId="54" fillId="3" borderId="72" xfId="0" applyFont="1" applyFill="1" applyBorder="1" applyAlignment="1" applyProtection="1">
      <alignment horizontal="center"/>
      <protection locked="0"/>
    </xf>
    <xf numFmtId="0" fontId="54" fillId="3" borderId="82" xfId="0" applyFont="1" applyFill="1" applyBorder="1" applyAlignment="1" applyProtection="1">
      <alignment horizontal="center"/>
      <protection locked="0"/>
    </xf>
    <xf numFmtId="0" fontId="54" fillId="3" borderId="83" xfId="0" applyFont="1" applyFill="1" applyBorder="1" applyAlignment="1" applyProtection="1">
      <alignment horizontal="center"/>
      <protection locked="0"/>
    </xf>
    <xf numFmtId="0" fontId="54" fillId="3" borderId="84" xfId="0" applyFont="1" applyFill="1" applyBorder="1" applyAlignment="1" applyProtection="1">
      <alignment horizontal="center"/>
      <protection locked="0"/>
    </xf>
    <xf numFmtId="0" fontId="54" fillId="3" borderId="104" xfId="0" applyFont="1" applyFill="1" applyBorder="1" applyAlignment="1" applyProtection="1">
      <alignment horizontal="center"/>
      <protection locked="0"/>
    </xf>
    <xf numFmtId="0" fontId="54" fillId="3" borderId="105" xfId="0" applyFont="1" applyFill="1" applyBorder="1" applyAlignment="1" applyProtection="1">
      <alignment horizontal="center"/>
      <protection locked="0"/>
    </xf>
    <xf numFmtId="0" fontId="54" fillId="3" borderId="106" xfId="0" applyFont="1" applyFill="1" applyBorder="1" applyAlignment="1" applyProtection="1">
      <alignment horizontal="center"/>
      <protection locked="0"/>
    </xf>
    <xf numFmtId="0" fontId="54" fillId="3" borderId="104" xfId="0" applyFont="1" applyFill="1" applyBorder="1" applyAlignment="1" applyProtection="1">
      <alignment horizontal="center" vertical="center"/>
      <protection locked="0"/>
    </xf>
    <xf numFmtId="0" fontId="54" fillId="3" borderId="105" xfId="0" applyFont="1" applyFill="1" applyBorder="1" applyAlignment="1" applyProtection="1">
      <alignment horizontal="center" vertical="center"/>
      <protection locked="0"/>
    </xf>
    <xf numFmtId="0" fontId="54" fillId="3" borderId="106" xfId="0" applyFont="1" applyFill="1" applyBorder="1" applyAlignment="1" applyProtection="1">
      <alignment horizontal="center" vertical="center"/>
      <protection locked="0"/>
    </xf>
    <xf numFmtId="0" fontId="56" fillId="17" borderId="2" xfId="0" applyFont="1" applyFill="1" applyBorder="1" applyAlignment="1" applyProtection="1">
      <alignment horizontal="center" vertical="center"/>
      <protection hidden="1"/>
    </xf>
    <xf numFmtId="0" fontId="56" fillId="2" borderId="5" xfId="0" applyFont="1" applyFill="1" applyBorder="1" applyAlignment="1" applyProtection="1">
      <alignment horizontal="center" vertical="center" wrapText="1"/>
      <protection hidden="1"/>
    </xf>
    <xf numFmtId="0" fontId="56" fillId="2" borderId="2" xfId="0" applyFont="1" applyFill="1" applyBorder="1" applyAlignment="1" applyProtection="1">
      <alignment horizontal="center" vertical="center" wrapText="1"/>
      <protection hidden="1"/>
    </xf>
    <xf numFmtId="0" fontId="56" fillId="2" borderId="4" xfId="0" applyFont="1" applyFill="1" applyBorder="1" applyAlignment="1" applyProtection="1">
      <alignment horizontal="center" vertical="center" wrapText="1"/>
      <protection hidden="1"/>
    </xf>
    <xf numFmtId="0" fontId="56" fillId="18" borderId="4" xfId="0" applyFont="1" applyFill="1" applyBorder="1" applyAlignment="1" applyProtection="1">
      <alignment horizontal="center" vertical="center" wrapText="1"/>
      <protection hidden="1"/>
    </xf>
    <xf numFmtId="0" fontId="56" fillId="18" borderId="5" xfId="0" applyFont="1" applyFill="1" applyBorder="1" applyAlignment="1" applyProtection="1">
      <alignment horizontal="center" vertical="center" wrapText="1"/>
      <protection hidden="1"/>
    </xf>
    <xf numFmtId="0" fontId="56" fillId="18" borderId="2" xfId="0" applyFont="1" applyFill="1" applyBorder="1" applyAlignment="1" applyProtection="1">
      <alignment horizontal="center" vertical="center" wrapText="1"/>
      <protection hidden="1"/>
    </xf>
    <xf numFmtId="0" fontId="56" fillId="20" borderId="2" xfId="0" applyFont="1" applyFill="1" applyBorder="1" applyAlignment="1" applyProtection="1">
      <alignment horizontal="center" vertical="center" wrapText="1"/>
      <protection hidden="1"/>
    </xf>
    <xf numFmtId="0" fontId="56" fillId="19" borderId="2" xfId="0" applyFont="1" applyFill="1" applyBorder="1" applyAlignment="1" applyProtection="1">
      <alignment horizontal="center" vertical="center" textRotation="90" wrapText="1"/>
      <protection hidden="1"/>
    </xf>
    <xf numFmtId="0" fontId="56" fillId="17" borderId="5" xfId="0" applyFont="1" applyFill="1" applyBorder="1" applyAlignment="1" applyProtection="1">
      <alignment horizontal="center" vertical="center" wrapText="1"/>
      <protection hidden="1"/>
    </xf>
    <xf numFmtId="0" fontId="56" fillId="17" borderId="2" xfId="0" applyFont="1" applyFill="1" applyBorder="1" applyAlignment="1" applyProtection="1">
      <alignment horizontal="center" vertical="center" wrapText="1"/>
      <protection hidden="1"/>
    </xf>
    <xf numFmtId="0" fontId="56" fillId="2" borderId="8" xfId="0" applyFont="1" applyFill="1" applyBorder="1" applyAlignment="1" applyProtection="1">
      <alignment horizontal="center" vertical="center" wrapText="1"/>
      <protection hidden="1"/>
    </xf>
    <xf numFmtId="0" fontId="56" fillId="2" borderId="9" xfId="0" applyFont="1" applyFill="1" applyBorder="1" applyAlignment="1" applyProtection="1">
      <alignment horizontal="center" vertical="center"/>
      <protection hidden="1"/>
    </xf>
    <xf numFmtId="0" fontId="56" fillId="2" borderId="3" xfId="0" applyFont="1" applyFill="1" applyBorder="1" applyAlignment="1" applyProtection="1">
      <alignment horizontal="center" vertical="center"/>
      <protection hidden="1"/>
    </xf>
    <xf numFmtId="0" fontId="56" fillId="2" borderId="9" xfId="0" applyFont="1" applyFill="1" applyBorder="1" applyAlignment="1" applyProtection="1">
      <alignment horizontal="center" vertical="center" wrapText="1"/>
      <protection hidden="1"/>
    </xf>
    <xf numFmtId="0" fontId="55" fillId="0" borderId="93" xfId="0" applyFont="1" applyBorder="1" applyAlignment="1" applyProtection="1">
      <alignment horizontal="center" vertical="center"/>
      <protection hidden="1"/>
    </xf>
    <xf numFmtId="0" fontId="55" fillId="0" borderId="94" xfId="0" applyFont="1" applyBorder="1" applyAlignment="1" applyProtection="1">
      <alignment horizontal="center" vertical="center"/>
      <protection hidden="1"/>
    </xf>
    <xf numFmtId="0" fontId="55" fillId="0" borderId="29" xfId="0" applyFont="1" applyBorder="1" applyAlignment="1" applyProtection="1">
      <alignment horizontal="center" vertical="center"/>
      <protection hidden="1"/>
    </xf>
    <xf numFmtId="0" fontId="56" fillId="17" borderId="4" xfId="0" applyFont="1" applyFill="1" applyBorder="1" applyAlignment="1" applyProtection="1">
      <alignment horizontal="center" vertical="center" textRotation="90"/>
      <protection hidden="1"/>
    </xf>
    <xf numFmtId="0" fontId="56" fillId="17" borderId="5" xfId="0" applyFont="1" applyFill="1" applyBorder="1" applyAlignment="1" applyProtection="1">
      <alignment horizontal="center" vertical="center" textRotation="90"/>
      <protection hidden="1"/>
    </xf>
    <xf numFmtId="0" fontId="56" fillId="17" borderId="4" xfId="0" applyFont="1" applyFill="1" applyBorder="1" applyAlignment="1" applyProtection="1">
      <alignment horizontal="center" vertical="center" wrapText="1"/>
      <protection hidden="1"/>
    </xf>
    <xf numFmtId="0" fontId="56" fillId="17" borderId="5" xfId="0" applyFont="1" applyFill="1" applyBorder="1" applyAlignment="1" applyProtection="1">
      <alignment horizontal="center" vertical="center"/>
      <protection hidden="1"/>
    </xf>
    <xf numFmtId="0" fontId="56" fillId="19" borderId="4" xfId="0" applyFont="1" applyFill="1" applyBorder="1" applyAlignment="1" applyProtection="1">
      <alignment horizontal="center" vertical="center" textRotation="90" wrapText="1"/>
      <protection hidden="1"/>
    </xf>
    <xf numFmtId="0" fontId="56" fillId="19" borderId="5" xfId="0" applyFont="1" applyFill="1" applyBorder="1" applyAlignment="1" applyProtection="1">
      <alignment horizontal="center" vertical="center" textRotation="90" wrapText="1"/>
      <protection hidden="1"/>
    </xf>
    <xf numFmtId="0" fontId="55" fillId="3" borderId="76" xfId="0" applyFont="1" applyFill="1" applyBorder="1" applyAlignment="1" applyProtection="1">
      <alignment horizontal="left" vertical="center" wrapText="1"/>
      <protection hidden="1"/>
    </xf>
    <xf numFmtId="0" fontId="55" fillId="3" borderId="76" xfId="0" applyFont="1" applyFill="1" applyBorder="1" applyAlignment="1" applyProtection="1">
      <alignment horizontal="left" vertical="center"/>
      <protection hidden="1"/>
    </xf>
    <xf numFmtId="0" fontId="55" fillId="3" borderId="79" xfId="0" applyFont="1" applyFill="1" applyBorder="1" applyAlignment="1" applyProtection="1">
      <alignment horizontal="left" vertical="center"/>
      <protection hidden="1"/>
    </xf>
    <xf numFmtId="0" fontId="55" fillId="3" borderId="79" xfId="0" applyFont="1" applyFill="1" applyBorder="1" applyAlignment="1" applyProtection="1">
      <alignment horizontal="left" vertical="center" wrapText="1"/>
      <protection hidden="1"/>
    </xf>
    <xf numFmtId="0" fontId="56" fillId="18" borderId="4" xfId="0" applyFont="1" applyFill="1" applyBorder="1" applyAlignment="1" applyProtection="1">
      <alignment horizontal="center" vertical="center" textRotation="90" wrapText="1"/>
      <protection hidden="1"/>
    </xf>
    <xf numFmtId="0" fontId="56" fillId="18" borderId="5" xfId="0" applyFont="1" applyFill="1" applyBorder="1" applyAlignment="1" applyProtection="1">
      <alignment horizontal="center" vertical="center" textRotation="90" wrapText="1"/>
      <protection hidden="1"/>
    </xf>
    <xf numFmtId="0" fontId="55" fillId="3" borderId="82" xfId="0" applyFont="1" applyFill="1" applyBorder="1" applyAlignment="1" applyProtection="1">
      <alignment horizontal="left" vertical="center"/>
      <protection hidden="1"/>
    </xf>
    <xf numFmtId="0" fontId="55" fillId="3" borderId="83" xfId="0" applyFont="1" applyFill="1" applyBorder="1" applyAlignment="1" applyProtection="1">
      <alignment horizontal="left" vertical="center"/>
      <protection hidden="1"/>
    </xf>
    <xf numFmtId="0" fontId="55" fillId="3" borderId="84" xfId="0" applyFont="1" applyFill="1" applyBorder="1" applyAlignment="1" applyProtection="1">
      <alignment horizontal="left" vertical="center"/>
      <protection hidden="1"/>
    </xf>
    <xf numFmtId="0" fontId="55" fillId="3" borderId="80" xfId="0" applyFont="1" applyFill="1" applyBorder="1" applyAlignment="1" applyProtection="1">
      <alignment horizontal="left" vertical="center"/>
      <protection hidden="1"/>
    </xf>
    <xf numFmtId="0" fontId="55" fillId="3" borderId="0" xfId="0" applyFont="1" applyFill="1" applyAlignment="1" applyProtection="1">
      <alignment horizontal="left" vertical="center"/>
      <protection hidden="1"/>
    </xf>
    <xf numFmtId="0" fontId="56" fillId="17" borderId="90" xfId="0" applyFont="1" applyFill="1" applyBorder="1" applyAlignment="1" applyProtection="1">
      <alignment horizontal="center" vertical="center"/>
      <protection hidden="1"/>
    </xf>
    <xf numFmtId="0" fontId="56" fillId="17" borderId="78" xfId="0" applyFont="1" applyFill="1" applyBorder="1" applyAlignment="1" applyProtection="1">
      <alignment horizontal="center" vertical="center"/>
      <protection hidden="1"/>
    </xf>
    <xf numFmtId="0" fontId="56" fillId="17" borderId="28" xfId="0" applyFont="1" applyFill="1" applyBorder="1" applyAlignment="1" applyProtection="1">
      <alignment horizontal="center" vertical="center"/>
      <protection hidden="1"/>
    </xf>
    <xf numFmtId="0" fontId="56" fillId="17" borderId="29" xfId="0" applyFont="1" applyFill="1" applyBorder="1" applyAlignment="1" applyProtection="1">
      <alignment horizontal="center" vertical="center"/>
      <protection hidden="1"/>
    </xf>
    <xf numFmtId="0" fontId="56" fillId="3" borderId="80" xfId="0" applyFont="1" applyFill="1" applyBorder="1" applyAlignment="1" applyProtection="1">
      <alignment horizontal="center" vertical="center"/>
      <protection hidden="1"/>
    </xf>
    <xf numFmtId="0" fontId="56" fillId="3" borderId="0" xfId="0" applyFont="1" applyFill="1" applyAlignment="1" applyProtection="1">
      <alignment horizontal="center" vertical="center"/>
      <protection hidden="1"/>
    </xf>
    <xf numFmtId="0" fontId="56" fillId="2" borderId="28" xfId="0" applyFont="1" applyFill="1" applyBorder="1" applyAlignment="1" applyProtection="1">
      <alignment horizontal="center" vertical="center"/>
      <protection hidden="1"/>
    </xf>
    <xf numFmtId="0" fontId="56" fillId="2" borderId="29" xfId="0" applyFont="1" applyFill="1" applyBorder="1" applyAlignment="1" applyProtection="1">
      <alignment horizontal="center" vertical="center"/>
      <protection hidden="1"/>
    </xf>
    <xf numFmtId="0" fontId="56" fillId="18" borderId="6" xfId="0" applyFont="1" applyFill="1" applyBorder="1" applyAlignment="1" applyProtection="1">
      <alignment horizontal="center" vertical="center"/>
      <protection hidden="1"/>
    </xf>
    <xf numFmtId="0" fontId="56" fillId="18" borderId="10" xfId="0" applyFont="1" applyFill="1" applyBorder="1" applyAlignment="1" applyProtection="1">
      <alignment horizontal="center" vertical="center"/>
      <protection hidden="1"/>
    </xf>
    <xf numFmtId="0" fontId="56" fillId="18" borderId="7" xfId="0" applyFont="1" applyFill="1" applyBorder="1" applyAlignment="1" applyProtection="1">
      <alignment horizontal="center" vertical="center"/>
      <protection hidden="1"/>
    </xf>
    <xf numFmtId="0" fontId="56" fillId="19" borderId="6" xfId="0" applyFont="1" applyFill="1" applyBorder="1" applyAlignment="1" applyProtection="1">
      <alignment horizontal="center" vertical="center"/>
      <protection hidden="1"/>
    </xf>
    <xf numFmtId="0" fontId="56" fillId="19" borderId="10" xfId="0" applyFont="1" applyFill="1" applyBorder="1" applyAlignment="1" applyProtection="1">
      <alignment horizontal="center" vertical="center"/>
      <protection hidden="1"/>
    </xf>
    <xf numFmtId="0" fontId="56" fillId="19" borderId="7" xfId="0" applyFont="1" applyFill="1" applyBorder="1" applyAlignment="1" applyProtection="1">
      <alignment horizontal="center" vertical="center"/>
      <protection hidden="1"/>
    </xf>
    <xf numFmtId="0" fontId="56" fillId="20" borderId="6" xfId="0" applyFont="1" applyFill="1" applyBorder="1" applyAlignment="1" applyProtection="1">
      <alignment horizontal="center" vertical="center"/>
      <protection hidden="1"/>
    </xf>
    <xf numFmtId="0" fontId="56" fillId="20" borderId="10" xfId="0" applyFont="1" applyFill="1" applyBorder="1" applyAlignment="1" applyProtection="1">
      <alignment horizontal="center" vertical="center"/>
      <protection hidden="1"/>
    </xf>
    <xf numFmtId="0" fontId="56" fillId="20" borderId="7" xfId="0" applyFont="1" applyFill="1" applyBorder="1" applyAlignment="1" applyProtection="1">
      <alignment horizontal="center" vertical="center"/>
      <protection hidden="1"/>
    </xf>
    <xf numFmtId="0" fontId="57" fillId="13" borderId="95" xfId="0" applyFont="1" applyFill="1" applyBorder="1" applyAlignment="1" applyProtection="1">
      <alignment horizontal="justify" vertical="center" wrapText="1"/>
      <protection hidden="1"/>
    </xf>
    <xf numFmtId="0" fontId="57" fillId="13" borderId="96" xfId="0" applyFont="1" applyFill="1" applyBorder="1" applyAlignment="1" applyProtection="1">
      <alignment horizontal="justify" vertical="center" wrapText="1"/>
      <protection hidden="1"/>
    </xf>
    <xf numFmtId="0" fontId="57" fillId="13" borderId="97" xfId="0" applyFont="1" applyFill="1" applyBorder="1" applyAlignment="1" applyProtection="1">
      <alignment horizontal="justify" vertical="center" wrapText="1"/>
      <protection hidden="1"/>
    </xf>
    <xf numFmtId="0" fontId="55" fillId="0" borderId="4" xfId="0" applyFont="1" applyBorder="1" applyAlignment="1" applyProtection="1">
      <alignment horizontal="justify" vertical="center" wrapText="1"/>
      <protection locked="0"/>
    </xf>
    <xf numFmtId="0" fontId="55" fillId="0" borderId="8" xfId="0" applyFont="1" applyBorder="1" applyAlignment="1" applyProtection="1">
      <alignment horizontal="justify" vertical="center" wrapText="1"/>
      <protection locked="0"/>
    </xf>
    <xf numFmtId="0" fontId="57" fillId="0" borderId="4" xfId="0" applyFont="1" applyBorder="1" applyAlignment="1" applyProtection="1">
      <alignment horizontal="justify" vertical="center" wrapText="1"/>
      <protection locked="0"/>
    </xf>
    <xf numFmtId="0" fontId="57" fillId="0" borderId="8" xfId="0" applyFont="1" applyBorder="1" applyAlignment="1" applyProtection="1">
      <alignment horizontal="justify" vertical="center" wrapText="1"/>
      <protection locked="0"/>
    </xf>
    <xf numFmtId="9" fontId="55" fillId="21" borderId="107" xfId="0" applyNumberFormat="1" applyFont="1" applyFill="1" applyBorder="1" applyAlignment="1" applyProtection="1">
      <alignment horizontal="center" vertical="center" wrapText="1"/>
      <protection hidden="1"/>
    </xf>
    <xf numFmtId="9" fontId="55" fillId="22" borderId="107" xfId="0" applyNumberFormat="1" applyFont="1" applyFill="1" applyBorder="1" applyAlignment="1" applyProtection="1">
      <alignment horizontal="center" vertical="center" wrapText="1"/>
      <protection hidden="1"/>
    </xf>
    <xf numFmtId="0" fontId="56" fillId="0" borderId="107" xfId="0" applyFont="1" applyBorder="1" applyAlignment="1" applyProtection="1">
      <alignment horizontal="center" vertical="center" wrapText="1"/>
      <protection hidden="1"/>
    </xf>
    <xf numFmtId="0" fontId="56" fillId="0" borderId="107" xfId="0" applyFont="1" applyBorder="1" applyAlignment="1" applyProtection="1">
      <alignment horizontal="center" vertical="center"/>
      <protection hidden="1"/>
    </xf>
    <xf numFmtId="0" fontId="56" fillId="0" borderId="117" xfId="0" applyFont="1" applyBorder="1" applyAlignment="1" applyProtection="1">
      <alignment horizontal="center" vertical="center"/>
      <protection hidden="1"/>
    </xf>
    <xf numFmtId="0" fontId="55" fillId="21" borderId="107" xfId="0" applyFont="1" applyFill="1" applyBorder="1" applyAlignment="1" applyProtection="1">
      <alignment horizontal="center" vertical="center" wrapText="1"/>
      <protection hidden="1"/>
    </xf>
    <xf numFmtId="0" fontId="55" fillId="0" borderId="107" xfId="0" applyFont="1" applyBorder="1" applyAlignment="1" applyProtection="1">
      <alignment horizontal="justify" vertical="center" wrapText="1"/>
      <protection hidden="1"/>
    </xf>
    <xf numFmtId="0" fontId="57" fillId="0" borderId="108" xfId="0" applyFont="1" applyBorder="1" applyAlignment="1" applyProtection="1">
      <alignment horizontal="justify" vertical="center" wrapText="1"/>
      <protection hidden="1"/>
    </xf>
    <xf numFmtId="0" fontId="55" fillId="0" borderId="107" xfId="0" applyFont="1" applyBorder="1" applyAlignment="1" applyProtection="1">
      <alignment horizontal="center" vertical="center"/>
      <protection hidden="1"/>
    </xf>
    <xf numFmtId="0" fontId="22" fillId="0" borderId="0" xfId="0" applyFont="1" applyAlignment="1">
      <alignment horizontal="center" vertical="center" wrapText="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70" fillId="13" borderId="12" xfId="0" applyFont="1" applyFill="1" applyBorder="1" applyAlignment="1" applyProtection="1">
      <alignment horizontal="center" wrapText="1" readingOrder="1"/>
      <protection hidden="1"/>
    </xf>
    <xf numFmtId="0" fontId="70" fillId="13" borderId="19" xfId="0" applyFont="1" applyFill="1" applyBorder="1" applyAlignment="1" applyProtection="1">
      <alignment horizontal="center" wrapText="1" readingOrder="1"/>
      <protection hidden="1"/>
    </xf>
    <xf numFmtId="0" fontId="70" fillId="13" borderId="14" xfId="0" applyFont="1" applyFill="1" applyBorder="1" applyAlignment="1" applyProtection="1">
      <alignment horizontal="center" wrapText="1" readingOrder="1"/>
      <protection hidden="1"/>
    </xf>
    <xf numFmtId="0" fontId="70" fillId="13" borderId="0" xfId="0" applyFont="1" applyFill="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12" xfId="0" applyFont="1" applyBorder="1" applyAlignment="1">
      <alignment horizontal="center" vertical="center" wrapText="1"/>
    </xf>
    <xf numFmtId="0" fontId="15"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wrapText="1"/>
    </xf>
    <xf numFmtId="0" fontId="71" fillId="11" borderId="19" xfId="0" applyFont="1" applyFill="1" applyBorder="1" applyAlignment="1" applyProtection="1">
      <alignment horizontal="center" vertical="center" wrapText="1" readingOrder="1"/>
      <protection hidden="1"/>
    </xf>
    <xf numFmtId="0" fontId="71" fillId="11" borderId="0" xfId="0" applyFont="1" applyFill="1" applyAlignment="1" applyProtection="1">
      <alignment horizontal="center" vertical="center" wrapText="1" readingOrder="1"/>
      <protection hidden="1"/>
    </xf>
    <xf numFmtId="0" fontId="16" fillId="10" borderId="0" xfId="0" applyFont="1" applyFill="1" applyAlignment="1">
      <alignment horizontal="center" vertical="center" textRotation="90" wrapText="1" readingOrder="1"/>
    </xf>
    <xf numFmtId="0" fontId="16" fillId="10" borderId="15" xfId="0" applyFont="1" applyFill="1" applyBorder="1" applyAlignment="1">
      <alignment horizontal="center" vertical="center" textRotation="90"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2" borderId="23"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24" xfId="0" applyFont="1" applyFill="1" applyBorder="1" applyAlignment="1">
      <alignment horizontal="center" vertical="center" wrapText="1" readingOrder="1"/>
    </xf>
    <xf numFmtId="0" fontId="19" fillId="12" borderId="25" xfId="0" applyFont="1" applyFill="1" applyBorder="1" applyAlignment="1">
      <alignment horizontal="center" vertical="center" wrapText="1" readingOrder="1"/>
    </xf>
    <xf numFmtId="0" fontId="19" fillId="12" borderId="26" xfId="0" applyFont="1" applyFill="1" applyBorder="1" applyAlignment="1">
      <alignment horizontal="center" vertical="center" wrapText="1" readingOrder="1"/>
    </xf>
    <xf numFmtId="0" fontId="19" fillId="12" borderId="27"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23"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24" xfId="0" applyFont="1" applyFill="1" applyBorder="1" applyAlignment="1">
      <alignment horizontal="center" vertical="center" wrapText="1" readingOrder="1"/>
    </xf>
    <xf numFmtId="0" fontId="19" fillId="11" borderId="25" xfId="0" applyFont="1" applyFill="1" applyBorder="1" applyAlignment="1">
      <alignment horizontal="center" vertical="center" wrapText="1" readingOrder="1"/>
    </xf>
    <xf numFmtId="0" fontId="19" fillId="11" borderId="26" xfId="0" applyFont="1" applyFill="1" applyBorder="1" applyAlignment="1">
      <alignment horizontal="center" vertical="center" wrapText="1" readingOrder="1"/>
    </xf>
    <xf numFmtId="0" fontId="19" fillId="11" borderId="27"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13" borderId="23"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24" xfId="0" applyFont="1" applyFill="1" applyBorder="1" applyAlignment="1">
      <alignment horizontal="center" vertical="center" wrapText="1" readingOrder="1"/>
    </xf>
    <xf numFmtId="0" fontId="19" fillId="13" borderId="25" xfId="0" applyFont="1" applyFill="1" applyBorder="1" applyAlignment="1">
      <alignment horizontal="center" vertical="center" wrapText="1" readingOrder="1"/>
    </xf>
    <xf numFmtId="0" fontId="19" fillId="13" borderId="26" xfId="0" applyFont="1" applyFill="1" applyBorder="1" applyAlignment="1">
      <alignment horizontal="center" vertical="center" wrapText="1" readingOrder="1"/>
    </xf>
    <xf numFmtId="0" fontId="19" fillId="13" borderId="27"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19" fillId="5" borderId="23"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24" xfId="0" applyFont="1" applyFill="1" applyBorder="1" applyAlignment="1">
      <alignment horizontal="center" vertical="center" wrapText="1" readingOrder="1"/>
    </xf>
    <xf numFmtId="0" fontId="19" fillId="5" borderId="25" xfId="0" applyFont="1" applyFill="1" applyBorder="1" applyAlignment="1">
      <alignment horizontal="center" vertical="center" wrapText="1" readingOrder="1"/>
    </xf>
    <xf numFmtId="0" fontId="19" fillId="5" borderId="26" xfId="0" applyFont="1" applyFill="1" applyBorder="1" applyAlignment="1">
      <alignment horizontal="center" vertical="center" wrapText="1" readingOrder="1"/>
    </xf>
    <xf numFmtId="0" fontId="19" fillId="5" borderId="27" xfId="0" applyFont="1" applyFill="1" applyBorder="1" applyAlignment="1">
      <alignment horizontal="center" vertical="center" wrapText="1" readingOrder="1"/>
    </xf>
    <xf numFmtId="0" fontId="39" fillId="0" borderId="12" xfId="0" applyFont="1" applyBorder="1" applyAlignment="1">
      <alignment horizontal="center" vertical="center" wrapText="1"/>
    </xf>
    <xf numFmtId="0" fontId="39" fillId="0" borderId="19"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0" xfId="0" applyFont="1" applyAlignment="1">
      <alignment horizontal="center" vertical="center"/>
    </xf>
    <xf numFmtId="0" fontId="39" fillId="0" borderId="15" xfId="0" applyFont="1" applyBorder="1" applyAlignment="1">
      <alignment horizontal="center" vertical="center"/>
    </xf>
    <xf numFmtId="0" fontId="39" fillId="0" borderId="16" xfId="0" applyFont="1" applyBorder="1" applyAlignment="1">
      <alignment horizontal="center" vertical="center"/>
    </xf>
    <xf numFmtId="0" fontId="39" fillId="0" borderId="18" xfId="0" applyFont="1" applyBorder="1" applyAlignment="1">
      <alignment horizontal="center"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wrapText="1"/>
    </xf>
    <xf numFmtId="0" fontId="38" fillId="11" borderId="20" xfId="0" applyFont="1" applyFill="1" applyBorder="1" applyAlignment="1">
      <alignment horizontal="center" vertical="center" wrapText="1" readingOrder="1"/>
    </xf>
    <xf numFmtId="0" fontId="38" fillId="11" borderId="21" xfId="0" applyFont="1" applyFill="1" applyBorder="1" applyAlignment="1">
      <alignment horizontal="center" vertical="center" wrapText="1" readingOrder="1"/>
    </xf>
    <xf numFmtId="0" fontId="38" fillId="11" borderId="22" xfId="0" applyFont="1" applyFill="1" applyBorder="1" applyAlignment="1">
      <alignment horizontal="center" vertical="center" wrapText="1" readingOrder="1"/>
    </xf>
    <xf numFmtId="0" fontId="38" fillId="11" borderId="23" xfId="0" applyFont="1" applyFill="1" applyBorder="1" applyAlignment="1">
      <alignment horizontal="center" vertical="center" wrapText="1" readingOrder="1"/>
    </xf>
    <xf numFmtId="0" fontId="38" fillId="11" borderId="0" xfId="0" applyFont="1" applyFill="1" applyAlignment="1">
      <alignment horizontal="center" vertical="center" wrapText="1" readingOrder="1"/>
    </xf>
    <xf numFmtId="0" fontId="38" fillId="11" borderId="24" xfId="0" applyFont="1" applyFill="1" applyBorder="1" applyAlignment="1">
      <alignment horizontal="center" vertical="center" wrapText="1" readingOrder="1"/>
    </xf>
    <xf numFmtId="0" fontId="38" fillId="11" borderId="25" xfId="0" applyFont="1" applyFill="1" applyBorder="1" applyAlignment="1">
      <alignment horizontal="center" vertical="center" wrapText="1" readingOrder="1"/>
    </xf>
    <xf numFmtId="0" fontId="38" fillId="11" borderId="26" xfId="0" applyFont="1" applyFill="1" applyBorder="1" applyAlignment="1">
      <alignment horizontal="center" vertical="center" wrapText="1" readingOrder="1"/>
    </xf>
    <xf numFmtId="0" fontId="38" fillId="11" borderId="27" xfId="0" applyFont="1" applyFill="1" applyBorder="1" applyAlignment="1">
      <alignment horizontal="center" vertical="center" wrapText="1" readingOrder="1"/>
    </xf>
    <xf numFmtId="0" fontId="39" fillId="0" borderId="14" xfId="0" applyFont="1" applyBorder="1" applyAlignment="1">
      <alignment horizontal="center" vertical="center" wrapText="1"/>
    </xf>
    <xf numFmtId="0" fontId="38" fillId="12" borderId="20" xfId="0" applyFont="1" applyFill="1" applyBorder="1" applyAlignment="1">
      <alignment horizontal="center" vertical="center" wrapText="1" readingOrder="1"/>
    </xf>
    <xf numFmtId="0" fontId="38" fillId="12" borderId="21" xfId="0" applyFont="1" applyFill="1" applyBorder="1" applyAlignment="1">
      <alignment horizontal="center" vertical="center" wrapText="1" readingOrder="1"/>
    </xf>
    <xf numFmtId="0" fontId="38" fillId="12" borderId="22" xfId="0" applyFont="1" applyFill="1" applyBorder="1" applyAlignment="1">
      <alignment horizontal="center" vertical="center" wrapText="1" readingOrder="1"/>
    </xf>
    <xf numFmtId="0" fontId="38" fillId="12" borderId="23" xfId="0" applyFont="1" applyFill="1" applyBorder="1" applyAlignment="1">
      <alignment horizontal="center" vertical="center" wrapText="1" readingOrder="1"/>
    </xf>
    <xf numFmtId="0" fontId="38" fillId="12" borderId="0" xfId="0" applyFont="1" applyFill="1" applyAlignment="1">
      <alignment horizontal="center" vertical="center" wrapText="1" readingOrder="1"/>
    </xf>
    <xf numFmtId="0" fontId="38" fillId="12" borderId="24" xfId="0" applyFont="1" applyFill="1" applyBorder="1" applyAlignment="1">
      <alignment horizontal="center" vertical="center" wrapText="1" readingOrder="1"/>
    </xf>
    <xf numFmtId="0" fontId="38" fillId="12" borderId="25" xfId="0" applyFont="1" applyFill="1" applyBorder="1" applyAlignment="1">
      <alignment horizontal="center" vertical="center" wrapText="1" readingOrder="1"/>
    </xf>
    <xf numFmtId="0" fontId="38" fillId="12" borderId="26" xfId="0" applyFont="1" applyFill="1" applyBorder="1" applyAlignment="1">
      <alignment horizontal="center" vertical="center" wrapText="1" readingOrder="1"/>
    </xf>
    <xf numFmtId="0" fontId="38" fillId="12" borderId="27" xfId="0" applyFont="1" applyFill="1" applyBorder="1" applyAlignment="1">
      <alignment horizontal="center" vertical="center" wrapText="1" readingOrder="1"/>
    </xf>
    <xf numFmtId="0" fontId="37" fillId="0" borderId="0" xfId="0" applyFont="1" applyAlignment="1">
      <alignment horizontal="center" vertical="center" wrapText="1"/>
    </xf>
    <xf numFmtId="0" fontId="20" fillId="0" borderId="0" xfId="0" applyFont="1" applyAlignment="1">
      <alignment horizontal="center" vertical="center" wrapText="1"/>
    </xf>
    <xf numFmtId="0" fontId="38" fillId="5" borderId="20" xfId="0" applyFont="1" applyFill="1" applyBorder="1" applyAlignment="1">
      <alignment horizontal="center" vertical="center" wrapText="1" readingOrder="1"/>
    </xf>
    <xf numFmtId="0" fontId="38" fillId="5" borderId="21" xfId="0" applyFont="1" applyFill="1" applyBorder="1" applyAlignment="1">
      <alignment horizontal="center" vertical="center" wrapText="1" readingOrder="1"/>
    </xf>
    <xf numFmtId="0" fontId="38" fillId="5" borderId="22" xfId="0" applyFont="1" applyFill="1" applyBorder="1" applyAlignment="1">
      <alignment horizontal="center" vertical="center" wrapText="1" readingOrder="1"/>
    </xf>
    <xf numFmtId="0" fontId="38" fillId="5" borderId="23" xfId="0" applyFont="1" applyFill="1" applyBorder="1" applyAlignment="1">
      <alignment horizontal="center" vertical="center" wrapText="1" readingOrder="1"/>
    </xf>
    <xf numFmtId="0" fontId="38" fillId="5" borderId="0" xfId="0" applyFont="1" applyFill="1" applyAlignment="1">
      <alignment horizontal="center" vertical="center" wrapText="1" readingOrder="1"/>
    </xf>
    <xf numFmtId="0" fontId="38" fillId="5" borderId="24" xfId="0" applyFont="1" applyFill="1" applyBorder="1" applyAlignment="1">
      <alignment horizontal="center" vertical="center" wrapText="1" readingOrder="1"/>
    </xf>
    <xf numFmtId="0" fontId="38" fillId="5" borderId="25" xfId="0" applyFont="1" applyFill="1" applyBorder="1" applyAlignment="1">
      <alignment horizontal="center" vertical="center" wrapText="1" readingOrder="1"/>
    </xf>
    <xf numFmtId="0" fontId="38" fillId="5" borderId="26" xfId="0" applyFont="1" applyFill="1" applyBorder="1" applyAlignment="1">
      <alignment horizontal="center" vertical="center" wrapText="1" readingOrder="1"/>
    </xf>
    <xf numFmtId="0" fontId="38" fillId="5" borderId="27" xfId="0" applyFont="1" applyFill="1" applyBorder="1" applyAlignment="1">
      <alignment horizontal="center" vertical="center" wrapText="1" readingOrder="1"/>
    </xf>
    <xf numFmtId="0" fontId="38" fillId="13" borderId="20" xfId="0" applyFont="1" applyFill="1" applyBorder="1" applyAlignment="1">
      <alignment horizontal="center" vertical="center" wrapText="1" readingOrder="1"/>
    </xf>
    <xf numFmtId="0" fontId="38" fillId="13" borderId="21" xfId="0" applyFont="1" applyFill="1" applyBorder="1" applyAlignment="1">
      <alignment horizontal="center" vertical="center" wrapText="1" readingOrder="1"/>
    </xf>
    <xf numFmtId="0" fontId="38" fillId="13" borderId="22" xfId="0" applyFont="1" applyFill="1" applyBorder="1" applyAlignment="1">
      <alignment horizontal="center" vertical="center" wrapText="1" readingOrder="1"/>
    </xf>
    <xf numFmtId="0" fontId="38" fillId="13" borderId="23" xfId="0" applyFont="1" applyFill="1" applyBorder="1" applyAlignment="1">
      <alignment horizontal="center" vertical="center" wrapText="1" readingOrder="1"/>
    </xf>
    <xf numFmtId="0" fontId="38" fillId="13" borderId="0" xfId="0" applyFont="1" applyFill="1" applyAlignment="1">
      <alignment horizontal="center" vertical="center" wrapText="1" readingOrder="1"/>
    </xf>
    <xf numFmtId="0" fontId="38" fillId="13" borderId="24" xfId="0" applyFont="1" applyFill="1" applyBorder="1" applyAlignment="1">
      <alignment horizontal="center" vertical="center" wrapText="1" readingOrder="1"/>
    </xf>
    <xf numFmtId="0" fontId="38" fillId="13" borderId="25" xfId="0" applyFont="1" applyFill="1" applyBorder="1" applyAlignment="1">
      <alignment horizontal="center" vertical="center" wrapText="1" readingOrder="1"/>
    </xf>
    <xf numFmtId="0" fontId="38" fillId="13" borderId="26" xfId="0" applyFont="1" applyFill="1" applyBorder="1" applyAlignment="1">
      <alignment horizontal="center" vertical="center" wrapText="1" readingOrder="1"/>
    </xf>
    <xf numFmtId="0" fontId="38" fillId="13" borderId="27" xfId="0" applyFont="1" applyFill="1" applyBorder="1" applyAlignment="1">
      <alignment horizontal="center" vertical="center" wrapText="1" readingOrder="1"/>
    </xf>
    <xf numFmtId="0" fontId="21" fillId="0" borderId="0" xfId="0" applyFont="1" applyAlignment="1">
      <alignment horizontal="center" vertical="center"/>
    </xf>
    <xf numFmtId="0" fontId="41" fillId="0" borderId="0" xfId="0" applyFont="1" applyAlignment="1">
      <alignment horizontal="center" vertical="center"/>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15" borderId="44" xfId="0" applyFont="1" applyFill="1" applyBorder="1" applyAlignment="1">
      <alignment horizontal="center" vertical="center" wrapText="1" readingOrder="1"/>
    </xf>
    <xf numFmtId="0" fontId="31" fillId="3" borderId="0" xfId="0" applyFont="1" applyFill="1" applyAlignment="1">
      <alignment horizontal="justify" vertical="center" wrapText="1"/>
    </xf>
    <xf numFmtId="0" fontId="33" fillId="15" borderId="41" xfId="0" applyFont="1" applyFill="1" applyBorder="1" applyAlignment="1">
      <alignment horizontal="center" vertical="center" wrapText="1" readingOrder="1"/>
    </xf>
    <xf numFmtId="0" fontId="33" fillId="15" borderId="42" xfId="0" applyFont="1" applyFill="1" applyBorder="1" applyAlignment="1">
      <alignment horizontal="center" vertical="center" wrapText="1" readingOrder="1"/>
    </xf>
    <xf numFmtId="0" fontId="33" fillId="3" borderId="39" xfId="0" applyFont="1" applyFill="1" applyBorder="1" applyAlignment="1">
      <alignment horizontal="center" vertical="center" wrapText="1" readingOrder="1"/>
    </xf>
    <xf numFmtId="0" fontId="33" fillId="3" borderId="34" xfId="0" applyFont="1" applyFill="1" applyBorder="1" applyAlignment="1">
      <alignment horizontal="center" vertical="center" wrapText="1" readingOrder="1"/>
    </xf>
    <xf numFmtId="0" fontId="33" fillId="3" borderId="31" xfId="0" applyFont="1" applyFill="1" applyBorder="1" applyAlignment="1">
      <alignment horizontal="center" vertical="center" wrapText="1" readingOrder="1"/>
    </xf>
    <xf numFmtId="0" fontId="33" fillId="3" borderId="30" xfId="0" applyFont="1" applyFill="1" applyBorder="1" applyAlignment="1">
      <alignment horizontal="center" vertical="center" wrapText="1" readingOrder="1"/>
    </xf>
    <xf numFmtId="0" fontId="33" fillId="3" borderId="36" xfId="0" applyFont="1" applyFill="1" applyBorder="1" applyAlignment="1">
      <alignment horizontal="center" vertical="center" wrapText="1" readingOrder="1"/>
    </xf>
    <xf numFmtId="0" fontId="33" fillId="3" borderId="37" xfId="0" applyFont="1" applyFill="1" applyBorder="1" applyAlignment="1">
      <alignment horizontal="center" vertical="center" wrapText="1" readingOrder="1"/>
    </xf>
    <xf numFmtId="0" fontId="61" fillId="30" borderId="9" xfId="0" applyFont="1" applyFill="1" applyBorder="1" applyAlignment="1" applyProtection="1">
      <alignment horizontal="left" vertical="center"/>
      <protection hidden="1"/>
    </xf>
    <xf numFmtId="0" fontId="61" fillId="30" borderId="0" xfId="0" applyFont="1" applyFill="1" applyAlignment="1" applyProtection="1">
      <alignment horizontal="left" vertical="center"/>
      <protection hidden="1"/>
    </xf>
    <xf numFmtId="0" fontId="61" fillId="30" borderId="75" xfId="0" applyFont="1" applyFill="1" applyBorder="1" applyAlignment="1" applyProtection="1">
      <alignment horizontal="left" vertical="center"/>
      <protection hidden="1"/>
    </xf>
    <xf numFmtId="0" fontId="61" fillId="30" borderId="79" xfId="0" applyFont="1" applyFill="1" applyBorder="1" applyAlignment="1" applyProtection="1">
      <alignment horizontal="left" vertical="center"/>
      <protection hidden="1"/>
    </xf>
    <xf numFmtId="0" fontId="58" fillId="30" borderId="69" xfId="0" applyFont="1" applyFill="1" applyBorder="1" applyAlignment="1" applyProtection="1">
      <alignment horizontal="center" vertical="center" wrapText="1"/>
      <protection locked="0"/>
    </xf>
    <xf numFmtId="0" fontId="58" fillId="30" borderId="60" xfId="0" applyFont="1" applyFill="1" applyBorder="1" applyAlignment="1" applyProtection="1">
      <alignment horizontal="center" vertical="center" wrapText="1"/>
      <protection locked="0"/>
    </xf>
    <xf numFmtId="0" fontId="58" fillId="30" borderId="91" xfId="0" applyFont="1" applyFill="1" applyBorder="1" applyAlignment="1" applyProtection="1">
      <alignment horizontal="center" vertical="center" wrapText="1"/>
      <protection locked="0"/>
    </xf>
    <xf numFmtId="0" fontId="58" fillId="30" borderId="74" xfId="0" applyFont="1" applyFill="1" applyBorder="1" applyAlignment="1" applyProtection="1">
      <alignment horizontal="center" vertical="center" wrapText="1"/>
      <protection locked="0"/>
    </xf>
    <xf numFmtId="0" fontId="58" fillId="30" borderId="73" xfId="0" applyFont="1" applyFill="1" applyBorder="1" applyAlignment="1" applyProtection="1">
      <alignment horizontal="center" vertical="center" wrapText="1"/>
      <protection locked="0"/>
    </xf>
    <xf numFmtId="0" fontId="55" fillId="5" borderId="0" xfId="0" applyFont="1" applyFill="1" applyProtection="1">
      <protection hidden="1"/>
    </xf>
    <xf numFmtId="0" fontId="55" fillId="0" borderId="2" xfId="0" applyFont="1" applyFill="1" applyBorder="1" applyAlignment="1" applyProtection="1">
      <alignment horizontal="justify" vertical="center" wrapText="1"/>
      <protection hidden="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4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36738</xdr:colOff>
      <xdr:row>114</xdr:row>
      <xdr:rowOff>164441</xdr:rowOff>
    </xdr:from>
    <xdr:to>
      <xdr:col>16</xdr:col>
      <xdr:colOff>25907</xdr:colOff>
      <xdr:row>118</xdr:row>
      <xdr:rowOff>65255</xdr:rowOff>
    </xdr:to>
    <xdr:pic>
      <xdr:nvPicPr>
        <xdr:cNvPr id="5" name="Imagen 4">
          <a:extLst>
            <a:ext uri="{FF2B5EF4-FFF2-40B4-BE49-F238E27FC236}">
              <a16:creationId xmlns:a16="http://schemas.microsoft.com/office/drawing/2014/main" id="{58317AB3-FDB7-4905-A40D-D74F5A50FB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2738" y="141896441"/>
          <a:ext cx="13745990" cy="608388"/>
        </a:xfrm>
        <a:prstGeom prst="rect">
          <a:avLst/>
        </a:prstGeom>
      </xdr:spPr>
    </xdr:pic>
    <xdr:clientData/>
  </xdr:twoCellAnchor>
  <xdr:twoCellAnchor editAs="oneCell">
    <xdr:from>
      <xdr:col>5</xdr:col>
      <xdr:colOff>13607</xdr:colOff>
      <xdr:row>105</xdr:row>
      <xdr:rowOff>89611</xdr:rowOff>
    </xdr:from>
    <xdr:to>
      <xdr:col>16</xdr:col>
      <xdr:colOff>32442</xdr:colOff>
      <xdr:row>114</xdr:row>
      <xdr:rowOff>123176</xdr:rowOff>
    </xdr:to>
    <xdr:pic>
      <xdr:nvPicPr>
        <xdr:cNvPr id="8" name="Imagen 7">
          <a:extLst>
            <a:ext uri="{FF2B5EF4-FFF2-40B4-BE49-F238E27FC236}">
              <a16:creationId xmlns:a16="http://schemas.microsoft.com/office/drawing/2014/main" id="{4A88082C-7274-4512-A64C-2AA9E8BF52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59678" y="9789560"/>
          <a:ext cx="13771769" cy="16081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idad/Downloads/Plantilla%20Matriz%20de%20riesgo%20-%20formativo%20escolar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ow r="14">
          <cell r="AD14" t="str">
            <v>Bajo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44" dataDxfId="343">
  <autoFilter ref="B209:C219" xr:uid="{00000000-0009-0000-0100-000001000000}"/>
  <tableColumns count="2">
    <tableColumn id="1" xr3:uid="{00000000-0010-0000-0000-000001000000}" name="Criterios" dataDxfId="342"/>
    <tableColumn id="2" xr3:uid="{00000000-0010-0000-0000-000002000000}" name="Subcriterios" dataDxfId="34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13" sqref="E13:F15"/>
    </sheetView>
  </sheetViews>
  <sheetFormatPr baseColWidth="10" defaultColWidth="11.42578125" defaultRowHeight="15" x14ac:dyDescent="0.25"/>
  <cols>
    <col min="1" max="1" width="2.85546875" style="37" customWidth="1"/>
    <col min="2" max="3" width="24.7109375" style="37" customWidth="1"/>
    <col min="4" max="4" width="16" style="37" customWidth="1"/>
    <col min="5" max="5" width="24.7109375" style="37" customWidth="1"/>
    <col min="6" max="6" width="27.7109375" style="37" customWidth="1"/>
    <col min="7" max="8" width="24.7109375" style="37" customWidth="1"/>
    <col min="9" max="16384" width="11.42578125" style="37"/>
  </cols>
  <sheetData>
    <row r="1" spans="2:8" ht="15.75" thickBot="1" x14ac:dyDescent="0.3"/>
    <row r="2" spans="2:8" ht="18" x14ac:dyDescent="0.25">
      <c r="B2" s="225" t="s">
        <v>163</v>
      </c>
      <c r="C2" s="226"/>
      <c r="D2" s="226"/>
      <c r="E2" s="226"/>
      <c r="F2" s="226"/>
      <c r="G2" s="226"/>
      <c r="H2" s="227"/>
    </row>
    <row r="3" spans="2:8" x14ac:dyDescent="0.25">
      <c r="B3" s="38"/>
      <c r="C3" s="39"/>
      <c r="D3" s="39"/>
      <c r="E3" s="39"/>
      <c r="F3" s="39"/>
      <c r="G3" s="39"/>
      <c r="H3" s="40"/>
    </row>
    <row r="4" spans="2:8" ht="63" customHeight="1" x14ac:dyDescent="0.25">
      <c r="B4" s="228" t="s">
        <v>206</v>
      </c>
      <c r="C4" s="229"/>
      <c r="D4" s="229"/>
      <c r="E4" s="229"/>
      <c r="F4" s="229"/>
      <c r="G4" s="229"/>
      <c r="H4" s="230"/>
    </row>
    <row r="5" spans="2:8" ht="63" customHeight="1" x14ac:dyDescent="0.25">
      <c r="B5" s="231"/>
      <c r="C5" s="232"/>
      <c r="D5" s="232"/>
      <c r="E5" s="232"/>
      <c r="F5" s="232"/>
      <c r="G5" s="232"/>
      <c r="H5" s="233"/>
    </row>
    <row r="6" spans="2:8" ht="16.5" x14ac:dyDescent="0.25">
      <c r="B6" s="234" t="s">
        <v>161</v>
      </c>
      <c r="C6" s="235"/>
      <c r="D6" s="235"/>
      <c r="E6" s="235"/>
      <c r="F6" s="235"/>
      <c r="G6" s="235"/>
      <c r="H6" s="236"/>
    </row>
    <row r="7" spans="2:8" ht="95.25" customHeight="1" x14ac:dyDescent="0.25">
      <c r="B7" s="244" t="s">
        <v>166</v>
      </c>
      <c r="C7" s="245"/>
      <c r="D7" s="245"/>
      <c r="E7" s="245"/>
      <c r="F7" s="245"/>
      <c r="G7" s="245"/>
      <c r="H7" s="246"/>
    </row>
    <row r="8" spans="2:8" ht="16.5" x14ac:dyDescent="0.25">
      <c r="B8" s="74"/>
      <c r="C8" s="75"/>
      <c r="D8" s="75"/>
      <c r="E8" s="75"/>
      <c r="F8" s="75"/>
      <c r="G8" s="75"/>
      <c r="H8" s="76"/>
    </row>
    <row r="9" spans="2:8" ht="16.5" customHeight="1" x14ac:dyDescent="0.25">
      <c r="B9" s="237" t="s">
        <v>199</v>
      </c>
      <c r="C9" s="238"/>
      <c r="D9" s="238"/>
      <c r="E9" s="238"/>
      <c r="F9" s="238"/>
      <c r="G9" s="238"/>
      <c r="H9" s="239"/>
    </row>
    <row r="10" spans="2:8" ht="44.25" customHeight="1" x14ac:dyDescent="0.25">
      <c r="B10" s="237"/>
      <c r="C10" s="238"/>
      <c r="D10" s="238"/>
      <c r="E10" s="238"/>
      <c r="F10" s="238"/>
      <c r="G10" s="238"/>
      <c r="H10" s="239"/>
    </row>
    <row r="11" spans="2:8" ht="15.75" thickBot="1" x14ac:dyDescent="0.3">
      <c r="B11" s="63"/>
      <c r="C11" s="66"/>
      <c r="D11" s="71"/>
      <c r="E11" s="72"/>
      <c r="F11" s="72"/>
      <c r="G11" s="73"/>
      <c r="H11" s="67"/>
    </row>
    <row r="12" spans="2:8" ht="15.75" thickTop="1" x14ac:dyDescent="0.25">
      <c r="B12" s="63"/>
      <c r="C12" s="240" t="s">
        <v>162</v>
      </c>
      <c r="D12" s="241"/>
      <c r="E12" s="242" t="s">
        <v>200</v>
      </c>
      <c r="F12" s="243"/>
      <c r="G12" s="66"/>
      <c r="H12" s="67"/>
    </row>
    <row r="13" spans="2:8" ht="35.25" customHeight="1" x14ac:dyDescent="0.25">
      <c r="B13" s="63"/>
      <c r="C13" s="247" t="s">
        <v>193</v>
      </c>
      <c r="D13" s="248"/>
      <c r="E13" s="249" t="s">
        <v>198</v>
      </c>
      <c r="F13" s="250"/>
      <c r="G13" s="66"/>
      <c r="H13" s="67"/>
    </row>
    <row r="14" spans="2:8" ht="17.25" customHeight="1" x14ac:dyDescent="0.25">
      <c r="B14" s="63"/>
      <c r="C14" s="247" t="s">
        <v>194</v>
      </c>
      <c r="D14" s="248"/>
      <c r="E14" s="249" t="s">
        <v>196</v>
      </c>
      <c r="F14" s="250"/>
      <c r="G14" s="66"/>
      <c r="H14" s="67"/>
    </row>
    <row r="15" spans="2:8" ht="19.5" customHeight="1" x14ac:dyDescent="0.25">
      <c r="B15" s="63"/>
      <c r="C15" s="247" t="s">
        <v>195</v>
      </c>
      <c r="D15" s="248"/>
      <c r="E15" s="249" t="s">
        <v>197</v>
      </c>
      <c r="F15" s="250"/>
      <c r="G15" s="66"/>
      <c r="H15" s="67"/>
    </row>
    <row r="16" spans="2:8" ht="69.75" customHeight="1" x14ac:dyDescent="0.25">
      <c r="B16" s="63"/>
      <c r="C16" s="247" t="s">
        <v>164</v>
      </c>
      <c r="D16" s="248"/>
      <c r="E16" s="249" t="s">
        <v>165</v>
      </c>
      <c r="F16" s="250"/>
      <c r="G16" s="66"/>
      <c r="H16" s="67"/>
    </row>
    <row r="17" spans="2:8" ht="34.5" customHeight="1" x14ac:dyDescent="0.25">
      <c r="B17" s="63"/>
      <c r="C17" s="251" t="s">
        <v>2</v>
      </c>
      <c r="D17" s="252"/>
      <c r="E17" s="253" t="s">
        <v>207</v>
      </c>
      <c r="F17" s="254"/>
      <c r="G17" s="66"/>
      <c r="H17" s="67"/>
    </row>
    <row r="18" spans="2:8" ht="27.75" customHeight="1" x14ac:dyDescent="0.25">
      <c r="B18" s="63"/>
      <c r="C18" s="251" t="s">
        <v>3</v>
      </c>
      <c r="D18" s="252"/>
      <c r="E18" s="253" t="s">
        <v>208</v>
      </c>
      <c r="F18" s="254"/>
      <c r="G18" s="66"/>
      <c r="H18" s="67"/>
    </row>
    <row r="19" spans="2:8" ht="28.5" customHeight="1" x14ac:dyDescent="0.25">
      <c r="B19" s="63"/>
      <c r="C19" s="251" t="s">
        <v>42</v>
      </c>
      <c r="D19" s="252"/>
      <c r="E19" s="253" t="s">
        <v>209</v>
      </c>
      <c r="F19" s="254"/>
      <c r="G19" s="66"/>
      <c r="H19" s="67"/>
    </row>
    <row r="20" spans="2:8" ht="72.75" customHeight="1" x14ac:dyDescent="0.25">
      <c r="B20" s="63"/>
      <c r="C20" s="251" t="s">
        <v>1</v>
      </c>
      <c r="D20" s="252"/>
      <c r="E20" s="253" t="s">
        <v>210</v>
      </c>
      <c r="F20" s="254"/>
      <c r="G20" s="66"/>
      <c r="H20" s="67"/>
    </row>
    <row r="21" spans="2:8" ht="64.5" customHeight="1" x14ac:dyDescent="0.25">
      <c r="B21" s="63"/>
      <c r="C21" s="251" t="s">
        <v>50</v>
      </c>
      <c r="D21" s="252"/>
      <c r="E21" s="253" t="s">
        <v>168</v>
      </c>
      <c r="F21" s="254"/>
      <c r="G21" s="66"/>
      <c r="H21" s="67"/>
    </row>
    <row r="22" spans="2:8" ht="71.25" customHeight="1" x14ac:dyDescent="0.25">
      <c r="B22" s="63"/>
      <c r="C22" s="251" t="s">
        <v>167</v>
      </c>
      <c r="D22" s="252"/>
      <c r="E22" s="253" t="s">
        <v>169</v>
      </c>
      <c r="F22" s="254"/>
      <c r="G22" s="66"/>
      <c r="H22" s="67"/>
    </row>
    <row r="23" spans="2:8" ht="55.5" customHeight="1" x14ac:dyDescent="0.25">
      <c r="B23" s="63"/>
      <c r="C23" s="258" t="s">
        <v>170</v>
      </c>
      <c r="D23" s="259"/>
      <c r="E23" s="253" t="s">
        <v>171</v>
      </c>
      <c r="F23" s="254"/>
      <c r="G23" s="66"/>
      <c r="H23" s="67"/>
    </row>
    <row r="24" spans="2:8" ht="42" customHeight="1" x14ac:dyDescent="0.25">
      <c r="B24" s="63"/>
      <c r="C24" s="258" t="s">
        <v>48</v>
      </c>
      <c r="D24" s="259"/>
      <c r="E24" s="253" t="s">
        <v>172</v>
      </c>
      <c r="F24" s="254"/>
      <c r="G24" s="66"/>
      <c r="H24" s="67"/>
    </row>
    <row r="25" spans="2:8" ht="59.25" customHeight="1" x14ac:dyDescent="0.25">
      <c r="B25" s="63"/>
      <c r="C25" s="258" t="s">
        <v>160</v>
      </c>
      <c r="D25" s="259"/>
      <c r="E25" s="253" t="s">
        <v>173</v>
      </c>
      <c r="F25" s="254"/>
      <c r="G25" s="66"/>
      <c r="H25" s="67"/>
    </row>
    <row r="26" spans="2:8" ht="23.25" customHeight="1" x14ac:dyDescent="0.25">
      <c r="B26" s="63"/>
      <c r="C26" s="258" t="s">
        <v>12</v>
      </c>
      <c r="D26" s="259"/>
      <c r="E26" s="253" t="s">
        <v>174</v>
      </c>
      <c r="F26" s="254"/>
      <c r="G26" s="66"/>
      <c r="H26" s="67"/>
    </row>
    <row r="27" spans="2:8" ht="30.75" customHeight="1" x14ac:dyDescent="0.25">
      <c r="B27" s="63"/>
      <c r="C27" s="258" t="s">
        <v>178</v>
      </c>
      <c r="D27" s="259"/>
      <c r="E27" s="253" t="s">
        <v>175</v>
      </c>
      <c r="F27" s="254"/>
      <c r="G27" s="66"/>
      <c r="H27" s="67"/>
    </row>
    <row r="28" spans="2:8" ht="35.25" customHeight="1" x14ac:dyDescent="0.25">
      <c r="B28" s="63"/>
      <c r="C28" s="258" t="s">
        <v>179</v>
      </c>
      <c r="D28" s="259"/>
      <c r="E28" s="253" t="s">
        <v>176</v>
      </c>
      <c r="F28" s="254"/>
      <c r="G28" s="66"/>
      <c r="H28" s="67"/>
    </row>
    <row r="29" spans="2:8" ht="33" customHeight="1" x14ac:dyDescent="0.25">
      <c r="B29" s="63"/>
      <c r="C29" s="258" t="s">
        <v>179</v>
      </c>
      <c r="D29" s="259"/>
      <c r="E29" s="253" t="s">
        <v>176</v>
      </c>
      <c r="F29" s="254"/>
      <c r="G29" s="66"/>
      <c r="H29" s="67"/>
    </row>
    <row r="30" spans="2:8" ht="30" customHeight="1" x14ac:dyDescent="0.25">
      <c r="B30" s="63"/>
      <c r="C30" s="258" t="s">
        <v>180</v>
      </c>
      <c r="D30" s="259"/>
      <c r="E30" s="253" t="s">
        <v>177</v>
      </c>
      <c r="F30" s="254"/>
      <c r="G30" s="66"/>
      <c r="H30" s="67"/>
    </row>
    <row r="31" spans="2:8" ht="35.25" customHeight="1" x14ac:dyDescent="0.25">
      <c r="B31" s="63"/>
      <c r="C31" s="258" t="s">
        <v>181</v>
      </c>
      <c r="D31" s="259"/>
      <c r="E31" s="253" t="s">
        <v>182</v>
      </c>
      <c r="F31" s="254"/>
      <c r="G31" s="66"/>
      <c r="H31" s="67"/>
    </row>
    <row r="32" spans="2:8" ht="31.5" customHeight="1" x14ac:dyDescent="0.25">
      <c r="B32" s="63"/>
      <c r="C32" s="258" t="s">
        <v>183</v>
      </c>
      <c r="D32" s="259"/>
      <c r="E32" s="253" t="s">
        <v>184</v>
      </c>
      <c r="F32" s="254"/>
      <c r="G32" s="66"/>
      <c r="H32" s="67"/>
    </row>
    <row r="33" spans="2:8" ht="35.25" customHeight="1" x14ac:dyDescent="0.25">
      <c r="B33" s="63"/>
      <c r="C33" s="258" t="s">
        <v>185</v>
      </c>
      <c r="D33" s="259"/>
      <c r="E33" s="253" t="s">
        <v>186</v>
      </c>
      <c r="F33" s="254"/>
      <c r="G33" s="66"/>
      <c r="H33" s="67"/>
    </row>
    <row r="34" spans="2:8" ht="59.25" customHeight="1" x14ac:dyDescent="0.25">
      <c r="B34" s="63"/>
      <c r="C34" s="258" t="s">
        <v>187</v>
      </c>
      <c r="D34" s="259"/>
      <c r="E34" s="253" t="s">
        <v>188</v>
      </c>
      <c r="F34" s="254"/>
      <c r="G34" s="66"/>
      <c r="H34" s="67"/>
    </row>
    <row r="35" spans="2:8" ht="29.25" customHeight="1" x14ac:dyDescent="0.25">
      <c r="B35" s="63"/>
      <c r="C35" s="258" t="s">
        <v>29</v>
      </c>
      <c r="D35" s="259"/>
      <c r="E35" s="253" t="s">
        <v>189</v>
      </c>
      <c r="F35" s="254"/>
      <c r="G35" s="66"/>
      <c r="H35" s="67"/>
    </row>
    <row r="36" spans="2:8" ht="82.5" customHeight="1" x14ac:dyDescent="0.25">
      <c r="B36" s="63"/>
      <c r="C36" s="258" t="s">
        <v>191</v>
      </c>
      <c r="D36" s="259"/>
      <c r="E36" s="253" t="s">
        <v>190</v>
      </c>
      <c r="F36" s="254"/>
      <c r="G36" s="66"/>
      <c r="H36" s="67"/>
    </row>
    <row r="37" spans="2:8" ht="46.5" customHeight="1" x14ac:dyDescent="0.25">
      <c r="B37" s="63"/>
      <c r="C37" s="258" t="s">
        <v>39</v>
      </c>
      <c r="D37" s="259"/>
      <c r="E37" s="253" t="s">
        <v>192</v>
      </c>
      <c r="F37" s="254"/>
      <c r="G37" s="66"/>
      <c r="H37" s="67"/>
    </row>
    <row r="38" spans="2:8" ht="6.75" customHeight="1" thickBot="1" x14ac:dyDescent="0.3">
      <c r="B38" s="63"/>
      <c r="C38" s="260"/>
      <c r="D38" s="261"/>
      <c r="E38" s="262"/>
      <c r="F38" s="263"/>
      <c r="G38" s="66"/>
      <c r="H38" s="67"/>
    </row>
    <row r="39" spans="2:8" ht="15.75" thickTop="1" x14ac:dyDescent="0.25">
      <c r="B39" s="63"/>
      <c r="C39" s="64"/>
      <c r="D39" s="64"/>
      <c r="E39" s="65"/>
      <c r="F39" s="65"/>
      <c r="G39" s="66"/>
      <c r="H39" s="67"/>
    </row>
    <row r="40" spans="2:8" ht="21" customHeight="1" x14ac:dyDescent="0.25">
      <c r="B40" s="255" t="s">
        <v>201</v>
      </c>
      <c r="C40" s="256"/>
      <c r="D40" s="256"/>
      <c r="E40" s="256"/>
      <c r="F40" s="256"/>
      <c r="G40" s="256"/>
      <c r="H40" s="257"/>
    </row>
    <row r="41" spans="2:8" ht="20.25" customHeight="1" x14ac:dyDescent="0.25">
      <c r="B41" s="255" t="s">
        <v>202</v>
      </c>
      <c r="C41" s="256"/>
      <c r="D41" s="256"/>
      <c r="E41" s="256"/>
      <c r="F41" s="256"/>
      <c r="G41" s="256"/>
      <c r="H41" s="257"/>
    </row>
    <row r="42" spans="2:8" ht="20.25" customHeight="1" x14ac:dyDescent="0.25">
      <c r="B42" s="255" t="s">
        <v>203</v>
      </c>
      <c r="C42" s="256"/>
      <c r="D42" s="256"/>
      <c r="E42" s="256"/>
      <c r="F42" s="256"/>
      <c r="G42" s="256"/>
      <c r="H42" s="257"/>
    </row>
    <row r="43" spans="2:8" ht="20.25" customHeight="1" x14ac:dyDescent="0.25">
      <c r="B43" s="255" t="s">
        <v>204</v>
      </c>
      <c r="C43" s="256"/>
      <c r="D43" s="256"/>
      <c r="E43" s="256"/>
      <c r="F43" s="256"/>
      <c r="G43" s="256"/>
      <c r="H43" s="257"/>
    </row>
    <row r="44" spans="2:8" x14ac:dyDescent="0.25">
      <c r="B44" s="255" t="s">
        <v>205</v>
      </c>
      <c r="C44" s="256"/>
      <c r="D44" s="256"/>
      <c r="E44" s="256"/>
      <c r="F44" s="256"/>
      <c r="G44" s="256"/>
      <c r="H44" s="257"/>
    </row>
    <row r="45" spans="2:8" ht="15.75" thickBot="1" x14ac:dyDescent="0.3">
      <c r="B45" s="68"/>
      <c r="C45" s="69"/>
      <c r="D45" s="69"/>
      <c r="E45" s="69"/>
      <c r="F45" s="69"/>
      <c r="G45" s="69"/>
      <c r="H45" s="70"/>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M105"/>
  <sheetViews>
    <sheetView tabSelected="1" topLeftCell="J1" zoomScale="98" zoomScaleNormal="98" workbookViewId="0">
      <pane ySplit="1" topLeftCell="A46" activePane="bottomLeft" state="frozen"/>
      <selection activeCell="L1" sqref="L1"/>
      <selection pane="bottomLeft" activeCell="S47" sqref="S47"/>
    </sheetView>
  </sheetViews>
  <sheetFormatPr baseColWidth="10" defaultColWidth="11.42578125" defaultRowHeight="13.5" x14ac:dyDescent="0.25"/>
  <cols>
    <col min="1" max="1" width="11.42578125" style="123"/>
    <col min="2" max="2" width="13.5703125" style="123" customWidth="1"/>
    <col min="3" max="3" width="4" style="125" bestFit="1" customWidth="1"/>
    <col min="4" max="4" width="17.140625" style="125" customWidth="1"/>
    <col min="5" max="5" width="13.140625" style="125" customWidth="1"/>
    <col min="6" max="6" width="16.140625" style="125" customWidth="1"/>
    <col min="7" max="7" width="32.42578125" style="123" customWidth="1"/>
    <col min="8" max="8" width="19" style="155" customWidth="1"/>
    <col min="9" max="9" width="17.85546875" style="123" customWidth="1"/>
    <col min="10" max="10" width="14.7109375" style="123" customWidth="1"/>
    <col min="11" max="11" width="6.28515625" style="123" bestFit="1" customWidth="1"/>
    <col min="12" max="12" width="51" style="123" customWidth="1"/>
    <col min="13" max="13" width="15.5703125" style="123" customWidth="1"/>
    <col min="14" max="14" width="14.140625" style="123" customWidth="1"/>
    <col min="15" max="15" width="6.28515625" style="123" bestFit="1" customWidth="1"/>
    <col min="16" max="16" width="12.85546875" style="123" customWidth="1"/>
    <col min="17" max="17" width="5.85546875" style="125" customWidth="1"/>
    <col min="18" max="18" width="19.28515625" style="125" customWidth="1"/>
    <col min="19" max="19" width="31" style="123" customWidth="1"/>
    <col min="20" max="20" width="15.140625" style="123" bestFit="1" customWidth="1"/>
    <col min="21" max="21" width="6.85546875" style="123" customWidth="1"/>
    <col min="22" max="22" width="5" style="123" customWidth="1"/>
    <col min="23" max="23" width="5.5703125" style="123" customWidth="1"/>
    <col min="24" max="24" width="7.140625" style="123" customWidth="1"/>
    <col min="25" max="25" width="6.7109375" style="123" customWidth="1"/>
    <col min="26" max="26" width="7.5703125" style="123" customWidth="1"/>
    <col min="27" max="27" width="9.85546875" style="123" customWidth="1"/>
    <col min="28" max="28" width="8.7109375" style="123" customWidth="1"/>
    <col min="29" max="29" width="10.42578125" style="123" customWidth="1"/>
    <col min="30" max="30" width="9.28515625" style="123" customWidth="1"/>
    <col min="31" max="31" width="9.140625" style="123" customWidth="1"/>
    <col min="32" max="32" width="8.42578125" style="123" customWidth="1"/>
    <col min="33" max="33" width="7.28515625" style="123" customWidth="1"/>
    <col min="34" max="34" width="23" style="123" customWidth="1"/>
    <col min="35" max="35" width="18.85546875" style="123" customWidth="1"/>
    <col min="36" max="36" width="16.85546875" style="123" customWidth="1"/>
    <col min="37" max="37" width="14.85546875" style="123" customWidth="1"/>
    <col min="38" max="38" width="18.5703125" style="123" customWidth="1"/>
    <col min="39" max="39" width="21" style="123" customWidth="1"/>
    <col min="40" max="16384" width="11.42578125" style="123"/>
  </cols>
  <sheetData>
    <row r="1" spans="2:39" ht="16.5" customHeight="1" x14ac:dyDescent="0.25">
      <c r="C1" s="321"/>
      <c r="D1" s="321"/>
      <c r="E1" s="322"/>
      <c r="F1" s="568" t="s">
        <v>218</v>
      </c>
      <c r="G1" s="569"/>
      <c r="H1" s="569"/>
      <c r="I1" s="569"/>
      <c r="J1" s="569"/>
      <c r="K1" s="569"/>
      <c r="L1" s="569"/>
      <c r="M1" s="569"/>
      <c r="N1" s="569"/>
      <c r="O1" s="569"/>
      <c r="P1" s="569"/>
      <c r="Q1" s="121"/>
      <c r="R1" s="121"/>
      <c r="S1" s="122"/>
      <c r="T1" s="122"/>
      <c r="U1" s="122"/>
      <c r="V1" s="122"/>
      <c r="W1" s="122"/>
      <c r="X1" s="122"/>
      <c r="Y1" s="122"/>
      <c r="Z1" s="122"/>
      <c r="AA1" s="122"/>
      <c r="AB1" s="122"/>
      <c r="AC1" s="122"/>
      <c r="AD1" s="122"/>
      <c r="AE1" s="122"/>
      <c r="AF1" s="122"/>
      <c r="AG1" s="122"/>
      <c r="AH1" s="122"/>
      <c r="AI1" s="122" t="s">
        <v>217</v>
      </c>
      <c r="AJ1" s="122"/>
      <c r="AK1" s="122"/>
      <c r="AL1" s="122"/>
      <c r="AM1" s="122"/>
    </row>
    <row r="2" spans="2:39" ht="16.5" customHeight="1" x14ac:dyDescent="0.25">
      <c r="C2" s="321"/>
      <c r="D2" s="321"/>
      <c r="E2" s="322"/>
      <c r="F2" s="570"/>
      <c r="G2" s="571"/>
      <c r="H2" s="571"/>
      <c r="I2" s="571"/>
      <c r="J2" s="571"/>
      <c r="K2" s="571"/>
      <c r="L2" s="571"/>
      <c r="M2" s="571"/>
      <c r="N2" s="571"/>
      <c r="O2" s="571"/>
      <c r="P2" s="572"/>
      <c r="Q2" s="124"/>
      <c r="R2" s="122"/>
      <c r="T2" s="122"/>
      <c r="U2" s="122"/>
      <c r="V2" s="122"/>
      <c r="W2" s="122"/>
      <c r="X2" s="122"/>
      <c r="Y2" s="122"/>
      <c r="Z2" s="122"/>
      <c r="AA2" s="122"/>
      <c r="AB2" s="122"/>
      <c r="AC2" s="122"/>
      <c r="AD2" s="122"/>
      <c r="AE2" s="122"/>
      <c r="AF2" s="122"/>
      <c r="AG2" s="122"/>
      <c r="AH2" s="122"/>
      <c r="AI2" s="122"/>
      <c r="AJ2" s="122"/>
      <c r="AK2" s="122"/>
      <c r="AL2" s="122"/>
      <c r="AM2" s="122"/>
    </row>
    <row r="3" spans="2:39" ht="16.5" customHeight="1" x14ac:dyDescent="0.25">
      <c r="C3" s="321"/>
      <c r="D3" s="321"/>
      <c r="E3" s="322"/>
      <c r="F3" s="325" t="s">
        <v>211</v>
      </c>
      <c r="G3" s="326"/>
      <c r="H3" s="326"/>
      <c r="I3" s="326"/>
      <c r="J3" s="326"/>
      <c r="K3" s="326"/>
      <c r="L3" s="326"/>
      <c r="M3" s="326"/>
      <c r="N3" s="326"/>
      <c r="O3" s="326"/>
      <c r="P3" s="327"/>
      <c r="Q3" s="124"/>
      <c r="R3" s="122"/>
      <c r="T3" s="122"/>
      <c r="U3" s="122"/>
      <c r="V3" s="122"/>
      <c r="W3" s="122"/>
      <c r="X3" s="122"/>
      <c r="Y3" s="122"/>
      <c r="Z3" s="122"/>
      <c r="AA3" s="122"/>
      <c r="AB3" s="122"/>
      <c r="AC3" s="122"/>
      <c r="AD3" s="122"/>
      <c r="AE3" s="122"/>
      <c r="AF3" s="122"/>
      <c r="AG3" s="122"/>
      <c r="AH3" s="122"/>
      <c r="AI3" s="122"/>
      <c r="AJ3" s="122"/>
      <c r="AK3" s="122"/>
      <c r="AL3" s="122"/>
      <c r="AM3" s="122"/>
    </row>
    <row r="4" spans="2:39" ht="16.5" customHeight="1" x14ac:dyDescent="0.25">
      <c r="C4" s="321"/>
      <c r="D4" s="321"/>
      <c r="E4" s="322"/>
      <c r="F4" s="325" t="s">
        <v>212</v>
      </c>
      <c r="G4" s="326"/>
      <c r="H4" s="326"/>
      <c r="I4" s="326"/>
      <c r="J4" s="326"/>
      <c r="K4" s="326"/>
      <c r="L4" s="326"/>
      <c r="M4" s="326"/>
      <c r="N4" s="326"/>
      <c r="O4" s="326"/>
      <c r="P4" s="327"/>
      <c r="Q4" s="124"/>
      <c r="R4" s="122"/>
      <c r="S4" s="122"/>
      <c r="T4" s="122"/>
      <c r="U4" s="122"/>
      <c r="V4" s="122"/>
      <c r="W4" s="122"/>
      <c r="X4" s="122"/>
      <c r="Y4" s="122"/>
      <c r="Z4" s="122"/>
      <c r="AA4" s="122"/>
      <c r="AB4" s="122"/>
      <c r="AC4" s="122"/>
      <c r="AD4" s="122"/>
      <c r="AE4" s="122"/>
      <c r="AF4" s="122"/>
      <c r="AG4" s="122"/>
      <c r="AH4" s="122"/>
      <c r="AI4" s="122"/>
      <c r="AJ4" s="122"/>
      <c r="AK4" s="122"/>
      <c r="AL4" s="122"/>
      <c r="AM4" s="122"/>
    </row>
    <row r="5" spans="2:39" ht="16.5" customHeight="1" x14ac:dyDescent="0.25">
      <c r="C5" s="321"/>
      <c r="D5" s="321"/>
      <c r="E5" s="322"/>
      <c r="F5" s="328" t="s">
        <v>213</v>
      </c>
      <c r="G5" s="329"/>
      <c r="H5" s="330" t="s">
        <v>214</v>
      </c>
      <c r="I5" s="331"/>
      <c r="J5" s="332" t="s">
        <v>215</v>
      </c>
      <c r="K5" s="333"/>
      <c r="L5" s="334"/>
      <c r="M5" s="335" t="s">
        <v>216</v>
      </c>
      <c r="N5" s="336"/>
      <c r="O5" s="336"/>
      <c r="P5" s="337"/>
      <c r="Q5" s="124"/>
      <c r="R5" s="121"/>
      <c r="S5" s="122"/>
      <c r="T5" s="122"/>
      <c r="U5" s="122"/>
      <c r="V5" s="122"/>
      <c r="W5" s="122"/>
      <c r="X5" s="122"/>
      <c r="Y5" s="122"/>
      <c r="Z5" s="122"/>
      <c r="AA5" s="122"/>
      <c r="AB5" s="122"/>
      <c r="AC5" s="122"/>
      <c r="AD5" s="122"/>
      <c r="AE5" s="122"/>
      <c r="AF5" s="122"/>
      <c r="AG5" s="122"/>
      <c r="AH5" s="122"/>
      <c r="AI5" s="122"/>
      <c r="AJ5" s="122"/>
      <c r="AK5" s="122"/>
      <c r="AL5" s="122"/>
      <c r="AM5" s="122"/>
    </row>
    <row r="6" spans="2:39" ht="24" customHeight="1" x14ac:dyDescent="0.25">
      <c r="C6" s="323"/>
      <c r="D6" s="323"/>
      <c r="E6" s="324"/>
      <c r="F6" s="316" t="s">
        <v>487</v>
      </c>
      <c r="G6" s="317"/>
      <c r="H6" s="318">
        <v>2</v>
      </c>
      <c r="I6" s="317"/>
      <c r="J6" s="319">
        <v>44914</v>
      </c>
      <c r="K6" s="320"/>
      <c r="L6" s="320"/>
      <c r="M6" s="338" t="s">
        <v>488</v>
      </c>
      <c r="N6" s="339"/>
      <c r="O6" s="339"/>
      <c r="P6" s="340"/>
      <c r="Q6" s="380"/>
      <c r="R6" s="381"/>
      <c r="S6" s="381"/>
      <c r="T6" s="381"/>
      <c r="U6" s="381"/>
      <c r="V6" s="381"/>
      <c r="W6" s="381"/>
      <c r="X6" s="381"/>
      <c r="Y6" s="122"/>
      <c r="Z6" s="122"/>
      <c r="AA6" s="122"/>
      <c r="AB6" s="122"/>
      <c r="AC6" s="122"/>
      <c r="AD6" s="122"/>
      <c r="AE6" s="122"/>
      <c r="AF6" s="122"/>
      <c r="AG6" s="122"/>
      <c r="AH6" s="122"/>
      <c r="AI6" s="122"/>
      <c r="AJ6" s="122"/>
      <c r="AK6" s="122"/>
      <c r="AL6" s="122"/>
      <c r="AM6" s="122"/>
    </row>
    <row r="7" spans="2:39" ht="26.25" customHeight="1" x14ac:dyDescent="0.25">
      <c r="C7" s="564" t="s">
        <v>43</v>
      </c>
      <c r="D7" s="565"/>
      <c r="E7" s="371" t="s">
        <v>219</v>
      </c>
      <c r="F7" s="372"/>
      <c r="G7" s="372"/>
      <c r="H7" s="372"/>
      <c r="I7" s="372"/>
      <c r="J7" s="372"/>
      <c r="K7" s="372"/>
      <c r="L7" s="372"/>
      <c r="M7" s="372"/>
      <c r="N7" s="372"/>
      <c r="O7" s="372"/>
      <c r="P7" s="373"/>
      <c r="Q7" s="374"/>
      <c r="R7" s="375"/>
      <c r="S7" s="375"/>
      <c r="T7" s="375"/>
    </row>
    <row r="8" spans="2:39" ht="30" customHeight="1" x14ac:dyDescent="0.25">
      <c r="C8" s="566" t="s">
        <v>130</v>
      </c>
      <c r="D8" s="567"/>
      <c r="E8" s="365" t="s">
        <v>220</v>
      </c>
      <c r="F8" s="366"/>
      <c r="G8" s="366"/>
      <c r="H8" s="366"/>
      <c r="I8" s="366"/>
      <c r="J8" s="366"/>
      <c r="K8" s="366"/>
      <c r="L8" s="366"/>
      <c r="M8" s="366"/>
      <c r="N8" s="366"/>
      <c r="O8" s="366"/>
      <c r="P8" s="367"/>
    </row>
    <row r="9" spans="2:39" ht="32.25" customHeight="1" x14ac:dyDescent="0.25">
      <c r="C9" s="566" t="s">
        <v>44</v>
      </c>
      <c r="D9" s="567"/>
      <c r="E9" s="365" t="s">
        <v>221</v>
      </c>
      <c r="F9" s="365"/>
      <c r="G9" s="365"/>
      <c r="H9" s="365"/>
      <c r="I9" s="365"/>
      <c r="J9" s="365"/>
      <c r="K9" s="365"/>
      <c r="L9" s="365"/>
      <c r="M9" s="365"/>
      <c r="N9" s="365"/>
      <c r="O9" s="365"/>
      <c r="P9" s="368"/>
      <c r="Q9" s="126"/>
    </row>
    <row r="10" spans="2:39" x14ac:dyDescent="0.25">
      <c r="C10" s="376" t="s">
        <v>138</v>
      </c>
      <c r="D10" s="377"/>
      <c r="E10" s="378"/>
      <c r="F10" s="378"/>
      <c r="G10" s="378"/>
      <c r="H10" s="378"/>
      <c r="I10" s="379"/>
      <c r="J10" s="354" t="s">
        <v>139</v>
      </c>
      <c r="K10" s="382"/>
      <c r="L10" s="382"/>
      <c r="M10" s="382"/>
      <c r="N10" s="382"/>
      <c r="O10" s="382"/>
      <c r="P10" s="383"/>
      <c r="Q10" s="384" t="s">
        <v>140</v>
      </c>
      <c r="R10" s="385"/>
      <c r="S10" s="385"/>
      <c r="T10" s="385"/>
      <c r="U10" s="385"/>
      <c r="V10" s="385"/>
      <c r="W10" s="385"/>
      <c r="X10" s="385"/>
      <c r="Y10" s="385"/>
      <c r="Z10" s="386"/>
      <c r="AA10" s="387" t="s">
        <v>141</v>
      </c>
      <c r="AB10" s="388"/>
      <c r="AC10" s="388"/>
      <c r="AD10" s="388"/>
      <c r="AE10" s="388"/>
      <c r="AF10" s="388"/>
      <c r="AG10" s="389"/>
      <c r="AH10" s="390" t="s">
        <v>34</v>
      </c>
      <c r="AI10" s="391"/>
      <c r="AJ10" s="391"/>
      <c r="AK10" s="391"/>
      <c r="AL10" s="391"/>
      <c r="AM10" s="392"/>
    </row>
    <row r="11" spans="2:39" ht="16.5" customHeight="1" x14ac:dyDescent="0.25">
      <c r="C11" s="359" t="s">
        <v>0</v>
      </c>
      <c r="D11" s="341" t="s">
        <v>2</v>
      </c>
      <c r="E11" s="350" t="s">
        <v>3</v>
      </c>
      <c r="F11" s="350" t="s">
        <v>42</v>
      </c>
      <c r="G11" s="362" t="s">
        <v>1</v>
      </c>
      <c r="H11" s="361" t="s">
        <v>50</v>
      </c>
      <c r="I11" s="350" t="s">
        <v>134</v>
      </c>
      <c r="J11" s="352" t="s">
        <v>33</v>
      </c>
      <c r="K11" s="353" t="s">
        <v>5</v>
      </c>
      <c r="L11" s="344" t="s">
        <v>87</v>
      </c>
      <c r="M11" s="344" t="s">
        <v>92</v>
      </c>
      <c r="N11" s="355" t="s">
        <v>45</v>
      </c>
      <c r="O11" s="353" t="s">
        <v>5</v>
      </c>
      <c r="P11" s="342" t="s">
        <v>48</v>
      </c>
      <c r="Q11" s="369" t="s">
        <v>11</v>
      </c>
      <c r="R11" s="127"/>
      <c r="S11" s="347" t="s">
        <v>160</v>
      </c>
      <c r="T11" s="345" t="s">
        <v>12</v>
      </c>
      <c r="U11" s="347" t="s">
        <v>8</v>
      </c>
      <c r="V11" s="347"/>
      <c r="W11" s="347"/>
      <c r="X11" s="347"/>
      <c r="Y11" s="347"/>
      <c r="Z11" s="347"/>
      <c r="AA11" s="349" t="s">
        <v>137</v>
      </c>
      <c r="AB11" s="349" t="s">
        <v>46</v>
      </c>
      <c r="AC11" s="349" t="s">
        <v>5</v>
      </c>
      <c r="AD11" s="349" t="s">
        <v>47</v>
      </c>
      <c r="AE11" s="349" t="s">
        <v>5</v>
      </c>
      <c r="AF11" s="349" t="s">
        <v>49</v>
      </c>
      <c r="AG11" s="363" t="s">
        <v>29</v>
      </c>
      <c r="AH11" s="348" t="s">
        <v>34</v>
      </c>
      <c r="AI11" s="348" t="s">
        <v>35</v>
      </c>
      <c r="AJ11" s="348" t="s">
        <v>36</v>
      </c>
      <c r="AK11" s="348" t="s">
        <v>38</v>
      </c>
      <c r="AL11" s="348" t="s">
        <v>37</v>
      </c>
      <c r="AM11" s="348" t="s">
        <v>39</v>
      </c>
    </row>
    <row r="12" spans="2:39" s="121" customFormat="1" ht="94.5" customHeight="1" thickBot="1" x14ac:dyDescent="0.3">
      <c r="B12" s="121" t="s">
        <v>514</v>
      </c>
      <c r="C12" s="360"/>
      <c r="D12" s="341"/>
      <c r="E12" s="351"/>
      <c r="F12" s="351"/>
      <c r="G12" s="341"/>
      <c r="H12" s="350"/>
      <c r="I12" s="351"/>
      <c r="J12" s="342"/>
      <c r="K12" s="354"/>
      <c r="L12" s="342"/>
      <c r="M12" s="342"/>
      <c r="N12" s="354"/>
      <c r="O12" s="354"/>
      <c r="P12" s="343"/>
      <c r="Q12" s="370"/>
      <c r="R12" s="128" t="s">
        <v>193</v>
      </c>
      <c r="S12" s="347"/>
      <c r="T12" s="346"/>
      <c r="U12" s="129" t="s">
        <v>13</v>
      </c>
      <c r="V12" s="129" t="s">
        <v>17</v>
      </c>
      <c r="W12" s="129" t="s">
        <v>28</v>
      </c>
      <c r="X12" s="129" t="s">
        <v>18</v>
      </c>
      <c r="Y12" s="129" t="s">
        <v>21</v>
      </c>
      <c r="Z12" s="129" t="s">
        <v>24</v>
      </c>
      <c r="AA12" s="349"/>
      <c r="AB12" s="349"/>
      <c r="AC12" s="349"/>
      <c r="AD12" s="349"/>
      <c r="AE12" s="349"/>
      <c r="AF12" s="349"/>
      <c r="AG12" s="364"/>
      <c r="AH12" s="348"/>
      <c r="AI12" s="348"/>
      <c r="AJ12" s="348"/>
      <c r="AK12" s="348"/>
      <c r="AL12" s="348"/>
      <c r="AM12" s="348"/>
    </row>
    <row r="13" spans="2:39" s="151" customFormat="1" ht="84" customHeight="1" x14ac:dyDescent="0.25">
      <c r="B13" s="175" t="s">
        <v>495</v>
      </c>
      <c r="C13" s="308">
        <v>1</v>
      </c>
      <c r="D13" s="290" t="s">
        <v>133</v>
      </c>
      <c r="E13" s="300" t="s">
        <v>222</v>
      </c>
      <c r="F13" s="311" t="s">
        <v>223</v>
      </c>
      <c r="G13" s="313" t="s">
        <v>224</v>
      </c>
      <c r="H13" s="290" t="s">
        <v>127</v>
      </c>
      <c r="I13" s="356">
        <v>120</v>
      </c>
      <c r="J13" s="280" t="str">
        <f>IF(I13&lt;=0,"",IF(I13&lt;=2,"Muy Baja",IF(I13&lt;=24,"Baja",IF(I13&lt;=500,"Media",IF(I13&lt;=5000,"Alta","Muy Alta")))))</f>
        <v>Media</v>
      </c>
      <c r="K13" s="278">
        <f>IF(J13="","",IF(J13="Muy Baja",0.2,IF(J13="Baja",0.4,IF(J13="Media",0.6,IF(J13="Alta",0.8,IF(J13="Muy Alta",1,))))))</f>
        <v>0.6</v>
      </c>
      <c r="L13" s="276" t="s">
        <v>146</v>
      </c>
      <c r="M13" s="278" t="str">
        <f>IF(NOT(ISERROR(MATCH(L13,'Tabla Impacto'!$B$221:$B$223,0))),'Tabla Impacto'!$F$223&amp;"Por favor no seleccionar los criterios de impacto(Afectación Económica o presupuestal y Pérdida Reputacional)",L13)</f>
        <v xml:space="preserve">     Entre 50 y 100 SMLMV </v>
      </c>
      <c r="N13" s="280" t="str">
        <f>IF(OR(M13='Tabla Impacto'!$C$11,M13='Tabla Impacto'!$D$11),"Leve",IF(OR(M13='Tabla Impacto'!$C$12,M13='Tabla Impacto'!$D$12),"Menor",IF(OR(M13='Tabla Impacto'!$C$13,M13='Tabla Impacto'!$D$13),"Moderado",IF(OR(M13='Tabla Impacto'!$C$14,M13='Tabla Impacto'!$D$14),"Mayor",IF(OR(M13='Tabla Impacto'!$C$15,M13='Tabla Impacto'!$D$15),"Catastrófico","")))))</f>
        <v>Moderado</v>
      </c>
      <c r="O13" s="278">
        <f>IF(N13="","",IF(N13="Leve",0.2,IF(N13="Menor",0.4,IF(N13="Moderado",0.6,IF(N13="Mayor",0.8,IF(N13="Catastrófico",1,))))))</f>
        <v>0.6</v>
      </c>
      <c r="P13" s="282" t="str">
        <f>IF(OR(AND(J13="Muy Baja",N13="Leve"),AND(J13="Muy Baja",N13="Menor"),AND(J13="Baja",N13="Leve")),"Bajo",IF(OR(AND(J13="Muy baja",N13="Moderado"),AND(J13="Baja",N13="Menor"),AND(J13="Baja",N13="Moderado"),AND(J13="Media",N13="Leve"),AND(J13="Media",N13="Menor"),AND(J13="Media",N13="Moderado"),AND(J13="Alta",N13="Leve"),AND(J13="Alta",N13="Menor")),"Moderado",IF(OR(AND(J13="Muy Baja",N13="Mayor"),AND(J13="Baja",N13="Mayor"),AND(J13="Media",N13="Mayor"),AND(J13="Alta",N13="Moderado"),AND(J13="Alta",N13="Mayor"),AND(J13="Muy Alta",N13="Leve"),AND(J13="Muy Alta",N13="Menor"),AND(J13="Muy Alta",N13="Moderado"),AND(J13="Muy Alta",N13="Mayor")),"Alto",IF(OR(AND(J13="Muy Baja",N13="Catastrófico"),AND(J13="Baja",N13="Catastrófico"),AND(J13="Media",N13="Catastrófico"),AND(J13="Alta",N13="Catastrófico"),AND(J13="Muy Alta",N13="Catastrófico")),"Extremo",""))))</f>
        <v>Moderado</v>
      </c>
      <c r="Q13" s="137">
        <v>1</v>
      </c>
      <c r="R13" s="156" t="s">
        <v>226</v>
      </c>
      <c r="S13" s="138" t="s">
        <v>536</v>
      </c>
      <c r="T13" s="139" t="str">
        <f t="shared" ref="T13:T29" si="0">IF(OR(U13="Preventivo",U13="Detectivo"),"Probabilidad",IF(U13="Correctivo","Impacto",""))</f>
        <v>Probabilidad</v>
      </c>
      <c r="U13" s="140" t="s">
        <v>14</v>
      </c>
      <c r="V13" s="140" t="s">
        <v>9</v>
      </c>
      <c r="W13" s="141" t="str">
        <f t="shared" ref="W13" si="1">IF(AND(U13="Preventivo",V13="Automático"),"50%",IF(AND(U13="Preventivo",V13="Manual"),"40%",IF(AND(U13="Detectivo",V13="Automático"),"40%",IF(AND(U13="Detectivo",V13="Manual"),"30%",IF(AND(U13="Correctivo",V13="Automático"),"35%",IF(AND(U13="Correctivo",V13="Manual"),"25%",""))))))</f>
        <v>40%</v>
      </c>
      <c r="X13" s="140" t="s">
        <v>19</v>
      </c>
      <c r="Y13" s="140" t="s">
        <v>22</v>
      </c>
      <c r="Z13" s="140" t="s">
        <v>119</v>
      </c>
      <c r="AA13" s="142">
        <f>IFERROR(IF(T13="Probabilidad",(K13-(+K13*W13)),IF(T13="Impacto",K13,"")),"")</f>
        <v>0.36</v>
      </c>
      <c r="AB13" s="143" t="str">
        <f>IFERROR(IF(AA13="","",IF(AA13&lt;=0.2,"Muy Baja",IF(AA13&lt;=0.4,"Baja",IF(AA13&lt;=0.6,"Media",IF(AA13&lt;=0.8,"Alta","Muy Alta"))))),"")</f>
        <v>Baja</v>
      </c>
      <c r="AC13" s="144">
        <f t="shared" ref="AC13" si="2">+AA13</f>
        <v>0.36</v>
      </c>
      <c r="AD13" s="143" t="str">
        <f>IFERROR(IF(AE13="","",IF(AE13&lt;=0.2,"Leve",IF(AE13&lt;=0.4,"Menor",IF(AE13&lt;=0.6,"Moderado",IF(AE13&lt;=0.8,"Mayor","Catastrófico"))))),"")</f>
        <v>Moderado</v>
      </c>
      <c r="AE13" s="144">
        <f>IFERROR(IF(T13="Impacto",(O13-(+O13*W13)),IF(T13="Probabilidad",O13,"")),"")</f>
        <v>0.6</v>
      </c>
      <c r="AF13" s="145" t="str">
        <f t="shared" ref="AF13" si="3">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Moderado</v>
      </c>
      <c r="AG13" s="146" t="s">
        <v>135</v>
      </c>
      <c r="AH13" s="147"/>
      <c r="AI13" s="148"/>
      <c r="AJ13" s="149"/>
      <c r="AK13" s="149"/>
      <c r="AL13" s="147"/>
      <c r="AM13" s="150"/>
    </row>
    <row r="14" spans="2:39" ht="84" customHeight="1" x14ac:dyDescent="0.25">
      <c r="B14" s="173"/>
      <c r="C14" s="309"/>
      <c r="D14" s="291"/>
      <c r="E14" s="301"/>
      <c r="F14" s="312"/>
      <c r="G14" s="314"/>
      <c r="H14" s="291"/>
      <c r="I14" s="357"/>
      <c r="J14" s="281"/>
      <c r="K14" s="279"/>
      <c r="L14" s="277"/>
      <c r="M14" s="279">
        <f>IF(NOT(ISERROR(MATCH(L14,_xlfn.ANCHORARRAY(G17),0))),#REF!&amp;"Por favor no seleccionar los criterios de impacto",L14)</f>
        <v>0</v>
      </c>
      <c r="N14" s="281"/>
      <c r="O14" s="279"/>
      <c r="P14" s="283"/>
      <c r="Q14" s="137">
        <v>2</v>
      </c>
      <c r="R14" s="156" t="s">
        <v>226</v>
      </c>
      <c r="S14" s="138" t="s">
        <v>537</v>
      </c>
      <c r="T14" s="139" t="str">
        <f t="shared" si="0"/>
        <v>Probabilidad</v>
      </c>
      <c r="U14" s="140" t="s">
        <v>14</v>
      </c>
      <c r="V14" s="140" t="s">
        <v>9</v>
      </c>
      <c r="W14" s="141" t="str">
        <f t="shared" ref="W14:W16" si="4">IF(AND(U14="Preventivo",V14="Automático"),"50%",IF(AND(U14="Preventivo",V14="Manual"),"40%",IF(AND(U14="Detectivo",V14="Automático"),"40%",IF(AND(U14="Detectivo",V14="Manual"),"30%",IF(AND(U14="Correctivo",V14="Automático"),"35%",IF(AND(U14="Correctivo",V14="Manual"),"25%",""))))))</f>
        <v>40%</v>
      </c>
      <c r="X14" s="140" t="s">
        <v>19</v>
      </c>
      <c r="Y14" s="140" t="s">
        <v>22</v>
      </c>
      <c r="Z14" s="140" t="s">
        <v>119</v>
      </c>
      <c r="AA14" s="142">
        <f t="shared" ref="AA14:AA19" si="5">IFERROR(IF(T14="Probabilidad",(K14-(+K14*W14)),IF(T14="Impacto",K14,"")),"")</f>
        <v>0</v>
      </c>
      <c r="AB14" s="143" t="str">
        <f>IFERROR(IF(AA14="","",IF(AA14&lt;=0.2,"Muy Baja",IF(AA14&lt;=0.4,"Baja",IF(AA14&lt;=0.6,"Media",IF(AA14&lt;=0.8,"Alta","Muy Alta"))))),"")</f>
        <v>Muy Baja</v>
      </c>
      <c r="AC14" s="144">
        <f t="shared" ref="AC14:AC16" si="6">+AA14</f>
        <v>0</v>
      </c>
      <c r="AD14" s="143" t="str">
        <f>IFERROR(IF(AE14="","",IF(AE14&lt;=0.2,"Leve",IF(AE14&lt;=0.4,"Menor",IF(AE14&lt;=0.6,"Moderado",IF(AE14&lt;=0.8,"Mayor","Catastrófico"))))),"")</f>
        <v>Leve</v>
      </c>
      <c r="AE14" s="144">
        <f>IFERROR(IF(T14="Impacto",(O14-(+O14*W14)),IF(T14="Probabilidad",O14,"")),"")</f>
        <v>0</v>
      </c>
      <c r="AF14" s="145" t="str">
        <f t="shared" ref="AF14:AF16" si="7">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Bajo</v>
      </c>
      <c r="AG14" s="146" t="s">
        <v>135</v>
      </c>
      <c r="AH14" s="147"/>
      <c r="AI14" s="148"/>
      <c r="AJ14" s="149"/>
      <c r="AK14" s="149"/>
      <c r="AL14" s="147"/>
      <c r="AM14" s="150"/>
    </row>
    <row r="15" spans="2:39" ht="84" customHeight="1" thickBot="1" x14ac:dyDescent="0.3">
      <c r="B15" s="174"/>
      <c r="C15" s="310"/>
      <c r="D15" s="291"/>
      <c r="E15" s="302"/>
      <c r="F15" s="312"/>
      <c r="G15" s="315"/>
      <c r="H15" s="291"/>
      <c r="I15" s="358"/>
      <c r="J15" s="281"/>
      <c r="K15" s="279"/>
      <c r="L15" s="277"/>
      <c r="M15" s="279">
        <f>IF(NOT(ISERROR(MATCH(L15,_xlfn.ANCHORARRAY(#REF!),0))),#REF!&amp;"Por favor no seleccionar los criterios de impacto",L15)</f>
        <v>0</v>
      </c>
      <c r="N15" s="281"/>
      <c r="O15" s="279"/>
      <c r="P15" s="283"/>
      <c r="Q15" s="137">
        <v>3</v>
      </c>
      <c r="R15" s="156" t="s">
        <v>226</v>
      </c>
      <c r="S15" s="138" t="s">
        <v>225</v>
      </c>
      <c r="T15" s="139" t="str">
        <f t="shared" si="0"/>
        <v>Probabilidad</v>
      </c>
      <c r="U15" s="140" t="s">
        <v>14</v>
      </c>
      <c r="V15" s="140" t="s">
        <v>9</v>
      </c>
      <c r="W15" s="141" t="str">
        <f t="shared" si="4"/>
        <v>40%</v>
      </c>
      <c r="X15" s="140" t="s">
        <v>19</v>
      </c>
      <c r="Y15" s="140" t="s">
        <v>22</v>
      </c>
      <c r="Z15" s="140" t="s">
        <v>119</v>
      </c>
      <c r="AA15" s="142">
        <f t="shared" si="5"/>
        <v>0</v>
      </c>
      <c r="AB15" s="143" t="str">
        <f t="shared" ref="AB15" si="8">IFERROR(IF(AA15="","",IF(AA15&lt;=0.2,"Muy Baja",IF(AA15&lt;=0.4,"Baja",IF(AA15&lt;=0.6,"Media",IF(AA15&lt;=0.8,"Alta","Muy Alta"))))),"")</f>
        <v>Muy Baja</v>
      </c>
      <c r="AC15" s="144">
        <f t="shared" si="6"/>
        <v>0</v>
      </c>
      <c r="AD15" s="143" t="str">
        <f t="shared" ref="AD15" si="9">IFERROR(IF(AE15="","",IF(AE15&lt;=0.2,"Leve",IF(AE15&lt;=0.4,"Menor",IF(AE15&lt;=0.6,"Moderado",IF(AE15&lt;=0.8,"Mayor","Catastrófico"))))),"")</f>
        <v>Leve</v>
      </c>
      <c r="AE15" s="144">
        <f t="shared" ref="AE15" si="10">IFERROR(IF(T15="Impacto",(O15-(+O15*W15)),IF(T15="Probabilidad",O15,"")),"")</f>
        <v>0</v>
      </c>
      <c r="AF15" s="145" t="str">
        <f t="shared" si="7"/>
        <v>Bajo</v>
      </c>
      <c r="AG15" s="146" t="s">
        <v>135</v>
      </c>
      <c r="AH15" s="147"/>
      <c r="AI15" s="148"/>
      <c r="AJ15" s="149"/>
      <c r="AK15" s="149"/>
      <c r="AL15" s="147"/>
      <c r="AM15" s="150"/>
    </row>
    <row r="16" spans="2:39" ht="135" customHeight="1" x14ac:dyDescent="0.25">
      <c r="B16" s="177" t="s">
        <v>496</v>
      </c>
      <c r="C16" s="176">
        <v>2</v>
      </c>
      <c r="D16" s="130" t="s">
        <v>133</v>
      </c>
      <c r="E16" s="131" t="s">
        <v>227</v>
      </c>
      <c r="F16" s="131" t="s">
        <v>228</v>
      </c>
      <c r="G16" s="152" t="s">
        <v>229</v>
      </c>
      <c r="H16" s="130" t="s">
        <v>128</v>
      </c>
      <c r="I16" s="153">
        <v>365</v>
      </c>
      <c r="J16" s="133" t="str">
        <f>IF(I16&lt;=0,"",IF(I16&lt;=2,"Muy Baja",IF(I16&lt;=24,"Baja",IF(I16&lt;=500,"Media",IF(I16&lt;=5000,"Alta","Muy Alta")))))</f>
        <v>Media</v>
      </c>
      <c r="K16" s="134">
        <f>IF(J16="","",IF(J16="Muy Baja",0.2,IF(J16="Baja",0.4,IF(J16="Media",0.6,IF(J16="Alta",0.8,IF(J16="Muy Alta",1,))))))</f>
        <v>0.6</v>
      </c>
      <c r="L16" s="135" t="s">
        <v>146</v>
      </c>
      <c r="M16" s="134" t="str">
        <f>IF(NOT(ISERROR(MATCH(L16,'Tabla Impacto'!$B$221:$B$223,0))),'Tabla Impacto'!$F$223&amp;"Por favor no seleccionar los criterios de impacto(Afectación Económica o presupuestal y Pérdida Reputacional)",L16)</f>
        <v xml:space="preserve">     Entre 50 y 100 SMLMV </v>
      </c>
      <c r="N16" s="133" t="str">
        <f>IF(OR(M16='Tabla Impacto'!$C$11,M16='Tabla Impacto'!$D$11),"Leve",IF(OR(M16='Tabla Impacto'!$C$12,M16='Tabla Impacto'!$D$12),"Menor",IF(OR(M16='Tabla Impacto'!$C$13,M16='Tabla Impacto'!$D$13),"Moderado",IF(OR(M16='Tabla Impacto'!$C$14,M16='Tabla Impacto'!$D$14),"Mayor",IF(OR(M16='Tabla Impacto'!$C$15,M16='Tabla Impacto'!$D$15),"Catastrófico","")))))</f>
        <v>Moderado</v>
      </c>
      <c r="O16" s="134">
        <f>IF(N16="","",IF(N16="Leve",0.2,IF(N16="Menor",0.4,IF(N16="Moderado",0.6,IF(N16="Mayor",0.8,IF(N16="Catastrófico",1,))))))</f>
        <v>0.6</v>
      </c>
      <c r="P16" s="136" t="str">
        <f>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Moderado</v>
      </c>
      <c r="Q16" s="137">
        <v>1</v>
      </c>
      <c r="R16" s="156" t="s">
        <v>230</v>
      </c>
      <c r="S16" s="157" t="s">
        <v>231</v>
      </c>
      <c r="T16" s="139" t="str">
        <f t="shared" si="0"/>
        <v>Probabilidad</v>
      </c>
      <c r="U16" s="140" t="s">
        <v>14</v>
      </c>
      <c r="V16" s="140" t="s">
        <v>10</v>
      </c>
      <c r="W16" s="141" t="str">
        <f t="shared" si="4"/>
        <v>50%</v>
      </c>
      <c r="X16" s="140" t="s">
        <v>20</v>
      </c>
      <c r="Y16" s="140" t="s">
        <v>22</v>
      </c>
      <c r="Z16" s="140" t="s">
        <v>119</v>
      </c>
      <c r="AA16" s="142">
        <f t="shared" si="5"/>
        <v>0.3</v>
      </c>
      <c r="AB16" s="143" t="str">
        <f t="shared" ref="AB16:AB26" si="11">IFERROR(IF(AA16="","",IF(AA16&lt;=0.2,"Muy Baja",IF(AA16&lt;=0.4,"Baja",IF(AA16&lt;=0.6,"Media",IF(AA16&lt;=0.8,"Alta","Muy Alta"))))),"")</f>
        <v>Baja</v>
      </c>
      <c r="AC16" s="144">
        <f t="shared" si="6"/>
        <v>0.3</v>
      </c>
      <c r="AD16" s="143" t="str">
        <f t="shared" ref="AD16:AD26" si="12">IFERROR(IF(AE16="","",IF(AE16&lt;=0.2,"Leve",IF(AE16&lt;=0.4,"Menor",IF(AE16&lt;=0.6,"Moderado",IF(AE16&lt;=0.8,"Mayor","Catastrófico"))))),"")</f>
        <v>Moderado</v>
      </c>
      <c r="AE16" s="144">
        <f t="shared" ref="AE16:AE36" si="13">IFERROR(IF(T16="Impacto",(O16-(+O16*W16)),IF(T16="Probabilidad",O16,"")),"")</f>
        <v>0.6</v>
      </c>
      <c r="AF16" s="145" t="str">
        <f t="shared" si="7"/>
        <v>Moderado</v>
      </c>
      <c r="AG16" s="146" t="s">
        <v>31</v>
      </c>
      <c r="AH16" s="147"/>
      <c r="AI16" s="148"/>
      <c r="AJ16" s="149"/>
      <c r="AK16" s="149"/>
      <c r="AL16" s="147"/>
      <c r="AM16" s="150"/>
    </row>
    <row r="17" spans="2:39" ht="96.75" customHeight="1" x14ac:dyDescent="0.25">
      <c r="B17" s="179"/>
      <c r="C17" s="176">
        <v>3</v>
      </c>
      <c r="D17" s="130" t="s">
        <v>133</v>
      </c>
      <c r="E17" s="131" t="s">
        <v>232</v>
      </c>
      <c r="F17" s="131" t="s">
        <v>233</v>
      </c>
      <c r="G17" s="152" t="s">
        <v>234</v>
      </c>
      <c r="H17" s="130" t="s">
        <v>128</v>
      </c>
      <c r="I17" s="153">
        <v>365</v>
      </c>
      <c r="J17" s="133" t="str">
        <f>IF(I17&lt;=0,"",IF(I17&lt;=2,"Muy Baja",IF(I17&lt;=24,"Baja",IF(I17&lt;=500,"Media",IF(I17&lt;=5000,"Alta","Muy Alta")))))</f>
        <v>Media</v>
      </c>
      <c r="K17" s="134">
        <f>IF(J17="","",IF(J17="Muy Baja",0.2,IF(J17="Baja",0.4,IF(J17="Media",0.6,IF(J17="Alta",0.8,IF(J17="Muy Alta",1,))))))</f>
        <v>0.6</v>
      </c>
      <c r="L17" s="135" t="s">
        <v>146</v>
      </c>
      <c r="M17" s="134" t="str">
        <f>IF(NOT(ISERROR(MATCH(L17,'Tabla Impacto'!$B$221:$B$223,0))),'Tabla Impacto'!$F$223&amp;"Por favor no seleccionar los criterios de impacto(Afectación Económica o presupuestal y Pérdida Reputacional)",L17)</f>
        <v xml:space="preserve">     Entre 50 y 100 SMLMV </v>
      </c>
      <c r="N17" s="133" t="str">
        <f>IF(OR(M17='Tabla Impacto'!$C$11,M17='Tabla Impacto'!$D$11),"Leve",IF(OR(M17='Tabla Impacto'!$C$12,M17='Tabla Impacto'!$D$12),"Menor",IF(OR(M17='Tabla Impacto'!$C$13,M17='Tabla Impacto'!$D$13),"Moderado",IF(OR(M17='Tabla Impacto'!$C$14,M17='Tabla Impacto'!$D$14),"Mayor",IF(OR(M17='Tabla Impacto'!$C$15,M17='Tabla Impacto'!$D$15),"Catastrófico","")))))</f>
        <v>Moderado</v>
      </c>
      <c r="O17" s="134">
        <f>IF(N17="","",IF(N17="Leve",0.2,IF(N17="Menor",0.4,IF(N17="Moderado",0.6,IF(N17="Mayor",0.8,IF(N17="Catastrófico",1,))))))</f>
        <v>0.6</v>
      </c>
      <c r="P17" s="136" t="str">
        <f>IF(OR(AND(J17="Muy Baja",N17="Leve"),AND(J17="Muy Baja",N17="Menor"),AND(J17="Baja",N17="Leve")),"Bajo",IF(OR(AND(J17="Muy baja",N17="Moderado"),AND(J17="Baja",N17="Menor"),AND(J17="Baja",N17="Moderado"),AND(J17="Media",N17="Leve"),AND(J17="Media",N17="Menor"),AND(J17="Media",N17="Moderado"),AND(J17="Alta",N17="Leve"),AND(J17="Alta",N17="Menor")),"Moderado",IF(OR(AND(J17="Muy Baja",N17="Mayor"),AND(J17="Baja",N17="Mayor"),AND(J17="Media",N17="Mayor"),AND(J17="Alta",N17="Moderado"),AND(J17="Alta",N17="Mayor"),AND(J17="Muy Alta",N17="Leve"),AND(J17="Muy Alta",N17="Menor"),AND(J17="Muy Alta",N17="Moderado"),AND(J17="Muy Alta",N17="Mayor")),"Alto",IF(OR(AND(J17="Muy Baja",N17="Catastrófico"),AND(J17="Baja",N17="Catastrófico"),AND(J17="Media",N17="Catastrófico"),AND(J17="Alta",N17="Catastrófico"),AND(J17="Muy Alta",N17="Catastrófico")),"Extremo",""))))</f>
        <v>Moderado</v>
      </c>
      <c r="Q17" s="137">
        <v>1</v>
      </c>
      <c r="R17" s="156" t="s">
        <v>230</v>
      </c>
      <c r="S17" s="138" t="s">
        <v>235</v>
      </c>
      <c r="T17" s="139" t="str">
        <f t="shared" si="0"/>
        <v>Probabilidad</v>
      </c>
      <c r="U17" s="140" t="s">
        <v>14</v>
      </c>
      <c r="V17" s="140" t="s">
        <v>10</v>
      </c>
      <c r="W17" s="141" t="str">
        <f t="shared" ref="W17" si="14">IF(AND(U17="Preventivo",V17="Automático"),"50%",IF(AND(U17="Preventivo",V17="Manual"),"40%",IF(AND(U17="Detectivo",V17="Automático"),"40%",IF(AND(U17="Detectivo",V17="Manual"),"30%",IF(AND(U17="Correctivo",V17="Automático"),"35%",IF(AND(U17="Correctivo",V17="Manual"),"25%",""))))))</f>
        <v>50%</v>
      </c>
      <c r="X17" s="140" t="s">
        <v>19</v>
      </c>
      <c r="Y17" s="140" t="s">
        <v>22</v>
      </c>
      <c r="Z17" s="140" t="s">
        <v>119</v>
      </c>
      <c r="AA17" s="142">
        <f t="shared" si="5"/>
        <v>0.3</v>
      </c>
      <c r="AB17" s="143" t="str">
        <f t="shared" si="11"/>
        <v>Baja</v>
      </c>
      <c r="AC17" s="144">
        <f t="shared" ref="AC17" si="15">+AA17</f>
        <v>0.3</v>
      </c>
      <c r="AD17" s="143" t="str">
        <f t="shared" si="12"/>
        <v>Moderado</v>
      </c>
      <c r="AE17" s="144">
        <f t="shared" si="13"/>
        <v>0.6</v>
      </c>
      <c r="AF17" s="145" t="str">
        <f t="shared" ref="AF17" si="16">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Moderado</v>
      </c>
      <c r="AG17" s="146" t="s">
        <v>31</v>
      </c>
      <c r="AH17" s="147"/>
      <c r="AI17" s="148"/>
      <c r="AJ17" s="149"/>
      <c r="AK17" s="149"/>
      <c r="AL17" s="147"/>
      <c r="AM17" s="150"/>
    </row>
    <row r="18" spans="2:39" ht="134.25" customHeight="1" thickBot="1" x14ac:dyDescent="0.3">
      <c r="B18" s="178"/>
      <c r="C18" s="176">
        <v>4</v>
      </c>
      <c r="D18" s="130" t="s">
        <v>133</v>
      </c>
      <c r="E18" s="158" t="s">
        <v>236</v>
      </c>
      <c r="F18" s="131" t="s">
        <v>237</v>
      </c>
      <c r="G18" s="152" t="s">
        <v>240</v>
      </c>
      <c r="H18" s="130" t="s">
        <v>128</v>
      </c>
      <c r="I18" s="153">
        <v>365</v>
      </c>
      <c r="J18" s="133" t="str">
        <f>IF(I18&lt;=0,"",IF(I18&lt;=2,"Muy Baja",IF(I18&lt;=24,"Baja",IF(I18&lt;=500,"Media",IF(I18&lt;=5000,"Alta","Muy Alta")))))</f>
        <v>Media</v>
      </c>
      <c r="K18" s="134">
        <f>IF(J18="","",IF(J18="Muy Baja",0.2,IF(J18="Baja",0.4,IF(J18="Media",0.6,IF(J18="Alta",0.8,IF(J18="Muy Alta",1,))))))</f>
        <v>0.6</v>
      </c>
      <c r="L18" s="135" t="s">
        <v>146</v>
      </c>
      <c r="M18" s="134" t="str">
        <f>IF(NOT(ISERROR(MATCH(L18,'Tabla Impacto'!$B$221:$B$223,0))),'Tabla Impacto'!$F$223&amp;"Por favor no seleccionar los criterios de impacto(Afectación Económica o presupuestal y Pérdida Reputacional)",L18)</f>
        <v xml:space="preserve">     Entre 50 y 100 SMLMV </v>
      </c>
      <c r="N18" s="133" t="str">
        <f>IF(OR(M18='Tabla Impacto'!$C$11,M18='Tabla Impacto'!$D$11),"Leve",IF(OR(M18='Tabla Impacto'!$C$12,M18='Tabla Impacto'!$D$12),"Menor",IF(OR(M18='Tabla Impacto'!$C$13,M18='Tabla Impacto'!$D$13),"Moderado",IF(OR(M18='Tabla Impacto'!$C$14,M18='Tabla Impacto'!$D$14),"Mayor",IF(OR(M18='Tabla Impacto'!$C$15,M18='Tabla Impacto'!$D$15),"Catastrófico","")))))</f>
        <v>Moderado</v>
      </c>
      <c r="O18" s="134">
        <f>IF(N18="","",IF(N18="Leve",0.2,IF(N18="Menor",0.4,IF(N18="Moderado",0.6,IF(N18="Mayor",0.8,IF(N18="Catastrófico",1,))))))</f>
        <v>0.6</v>
      </c>
      <c r="P18" s="136" t="str">
        <f>IF(OR(AND(J18="Muy Baja",N18="Leve"),AND(J18="Muy Baja",N18="Menor"),AND(J18="Baja",N18="Leve")),"Bajo",IF(OR(AND(J18="Muy baja",N18="Moderado"),AND(J18="Baja",N18="Menor"),AND(J18="Baja",N18="Moderado"),AND(J18="Media",N18="Leve"),AND(J18="Media",N18="Menor"),AND(J18="Media",N18="Moderado"),AND(J18="Alta",N18="Leve"),AND(J18="Alta",N18="Menor")),"Moderado",IF(OR(AND(J18="Muy Baja",N18="Mayor"),AND(J18="Baja",N18="Mayor"),AND(J18="Media",N18="Mayor"),AND(J18="Alta",N18="Moderado"),AND(J18="Alta",N18="Mayor"),AND(J18="Muy Alta",N18="Leve"),AND(J18="Muy Alta",N18="Menor"),AND(J18="Muy Alta",N18="Moderado"),AND(J18="Muy Alta",N18="Mayor")),"Alto",IF(OR(AND(J18="Muy Baja",N18="Catastrófico"),AND(J18="Baja",N18="Catastrófico"),AND(J18="Media",N18="Catastrófico"),AND(J18="Alta",N18="Catastrófico"),AND(J18="Muy Alta",N18="Catastrófico")),"Extremo",""))))</f>
        <v>Moderado</v>
      </c>
      <c r="Q18" s="137">
        <v>1</v>
      </c>
      <c r="R18" s="156" t="s">
        <v>238</v>
      </c>
      <c r="S18" s="138" t="s">
        <v>239</v>
      </c>
      <c r="T18" s="139" t="str">
        <f t="shared" si="0"/>
        <v>Probabilidad</v>
      </c>
      <c r="U18" s="140" t="s">
        <v>14</v>
      </c>
      <c r="V18" s="140" t="s">
        <v>9</v>
      </c>
      <c r="W18" s="141" t="str">
        <f t="shared" ref="W18" si="17">IF(AND(U18="Preventivo",V18="Automático"),"50%",IF(AND(U18="Preventivo",V18="Manual"),"40%",IF(AND(U18="Detectivo",V18="Automático"),"40%",IF(AND(U18="Detectivo",V18="Manual"),"30%",IF(AND(U18="Correctivo",V18="Automático"),"35%",IF(AND(U18="Correctivo",V18="Manual"),"25%",""))))))</f>
        <v>40%</v>
      </c>
      <c r="X18" s="140" t="s">
        <v>19</v>
      </c>
      <c r="Y18" s="140" t="s">
        <v>22</v>
      </c>
      <c r="Z18" s="140" t="s">
        <v>119</v>
      </c>
      <c r="AA18" s="142">
        <f t="shared" si="5"/>
        <v>0.36</v>
      </c>
      <c r="AB18" s="143" t="str">
        <f t="shared" si="11"/>
        <v>Baja</v>
      </c>
      <c r="AC18" s="144">
        <f t="shared" ref="AC18" si="18">+AA18</f>
        <v>0.36</v>
      </c>
      <c r="AD18" s="143" t="str">
        <f t="shared" si="12"/>
        <v>Moderado</v>
      </c>
      <c r="AE18" s="144">
        <f t="shared" si="13"/>
        <v>0.6</v>
      </c>
      <c r="AF18" s="145" t="str">
        <f t="shared" ref="AF18" si="19">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Moderado</v>
      </c>
      <c r="AG18" s="146" t="s">
        <v>31</v>
      </c>
      <c r="AH18" s="147"/>
      <c r="AI18" s="148"/>
      <c r="AJ18" s="149"/>
      <c r="AK18" s="149"/>
      <c r="AL18" s="147"/>
      <c r="AM18" s="150"/>
    </row>
    <row r="19" spans="2:39" ht="84" customHeight="1" x14ac:dyDescent="0.25">
      <c r="B19" s="180" t="s">
        <v>497</v>
      </c>
      <c r="C19" s="288">
        <v>5</v>
      </c>
      <c r="D19" s="290" t="s">
        <v>132</v>
      </c>
      <c r="E19" s="292" t="s">
        <v>241</v>
      </c>
      <c r="F19" s="292" t="s">
        <v>242</v>
      </c>
      <c r="G19" s="306" t="s">
        <v>243</v>
      </c>
      <c r="H19" s="290" t="s">
        <v>129</v>
      </c>
      <c r="I19" s="296">
        <v>365</v>
      </c>
      <c r="J19" s="280" t="str">
        <f>IF(I19&lt;=0,"",IF(I19&lt;=2,"Muy Baja",IF(I19&lt;=24,"Baja",IF(I19&lt;=500,"Media",IF(I19&lt;=5000,"Alta","Muy Alta")))))</f>
        <v>Media</v>
      </c>
      <c r="K19" s="278">
        <f>IF(J19="","",IF(J19="Muy Baja",0.2,IF(J19="Baja",0.4,IF(J19="Media",0.6,IF(J19="Alta",0.8,IF(J19="Muy Alta",1,))))))</f>
        <v>0.6</v>
      </c>
      <c r="L19" s="276" t="s">
        <v>143</v>
      </c>
      <c r="M19" s="278" t="str">
        <f>IF(NOT(ISERROR(MATCH(L19,'Tabla Impacto'!$B$221:$B$223,0))),'Tabla Impacto'!$F$223&amp;"Por favor no seleccionar los criterios de impacto(Afectación Económica o presupuestal y Pérdida Reputacional)",L19)</f>
        <v xml:space="preserve">     Afectación menor a 10 SMLMV .</v>
      </c>
      <c r="N19" s="280" t="str">
        <f>IF(OR(M19='Tabla Impacto'!$C$11,M19='Tabla Impacto'!$D$11),"Leve",IF(OR(M19='Tabla Impacto'!$C$12,M19='Tabla Impacto'!$D$12),"Menor",IF(OR(M19='Tabla Impacto'!$C$13,M19='Tabla Impacto'!$D$13),"Moderado",IF(OR(M19='Tabla Impacto'!$C$14,M19='Tabla Impacto'!$D$14),"Mayor",IF(OR(M19='Tabla Impacto'!$C$15,M19='Tabla Impacto'!$D$15),"Catastrófico","")))))</f>
        <v>Leve</v>
      </c>
      <c r="O19" s="278">
        <f>IF(N19="","",IF(N19="Leve",0.2,IF(N19="Menor",0.4,IF(N19="Moderado",0.6,IF(N19="Mayor",0.8,IF(N19="Catastrófico",1,))))))</f>
        <v>0.2</v>
      </c>
      <c r="P19" s="282" t="str">
        <f>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Moderado</v>
      </c>
      <c r="Q19" s="137">
        <v>1</v>
      </c>
      <c r="R19" s="156" t="s">
        <v>244</v>
      </c>
      <c r="S19" s="138" t="s">
        <v>245</v>
      </c>
      <c r="T19" s="139" t="str">
        <f t="shared" si="0"/>
        <v>Probabilidad</v>
      </c>
      <c r="U19" s="140" t="s">
        <v>14</v>
      </c>
      <c r="V19" s="140" t="s">
        <v>9</v>
      </c>
      <c r="W19" s="141" t="str">
        <f t="shared" ref="W19" si="20">IF(AND(U19="Preventivo",V19="Automático"),"50%",IF(AND(U19="Preventivo",V19="Manual"),"40%",IF(AND(U19="Detectivo",V19="Automático"),"40%",IF(AND(U19="Detectivo",V19="Manual"),"30%",IF(AND(U19="Correctivo",V19="Automático"),"35%",IF(AND(U19="Correctivo",V19="Manual"),"25%",""))))))</f>
        <v>40%</v>
      </c>
      <c r="X19" s="140" t="s">
        <v>19</v>
      </c>
      <c r="Y19" s="140" t="s">
        <v>23</v>
      </c>
      <c r="Z19" s="140" t="s">
        <v>120</v>
      </c>
      <c r="AA19" s="142">
        <f t="shared" si="5"/>
        <v>0.36</v>
      </c>
      <c r="AB19" s="269" t="str">
        <f t="shared" si="11"/>
        <v>Baja</v>
      </c>
      <c r="AC19" s="144">
        <f t="shared" ref="AC19" si="21">+AA19</f>
        <v>0.36</v>
      </c>
      <c r="AD19" s="143" t="str">
        <f t="shared" si="12"/>
        <v>Leve</v>
      </c>
      <c r="AE19" s="144">
        <f t="shared" si="13"/>
        <v>0.2</v>
      </c>
      <c r="AF19" s="271" t="str">
        <f t="shared" ref="AF19" si="22">IFERROR(IF(OR(AND(AB19="Muy Baja",AD19="Leve"),AND(AB19="Muy Baja",AD19="Menor"),AND(AB19="Baja",AD19="Leve")),"Bajo",IF(OR(AND(AB19="Muy baja",AD19="Moderado"),AND(AB19="Baja",AD19="Menor"),AND(AB19="Baja",AD19="Moderado"),AND(AB19="Media",AD19="Leve"),AND(AB19="Media",AD19="Menor"),AND(AB19="Media",AD19="Moderado"),AND(AB19="Alta",AD19="Leve"),AND(AB19="Alta",AD19="Menor")),"Moderado",IF(OR(AND(AB19="Muy Baja",AD19="Mayor"),AND(AB19="Baja",AD19="Mayor"),AND(AB19="Media",AD19="Mayor"),AND(AB19="Alta",AD19="Moderado"),AND(AB19="Alta",AD19="Mayor"),AND(AB19="Muy Alta",AD19="Leve"),AND(AB19="Muy Alta",AD19="Menor"),AND(AB19="Muy Alta",AD19="Moderado"),AND(AB19="Muy Alta",AD19="Mayor")),"Alto",IF(OR(AND(AB19="Muy Baja",AD19="Catastrófico"),AND(AB19="Baja",AD19="Catastrófico"),AND(AB19="Media",AD19="Catastrófico"),AND(AB19="Alta",AD19="Catastrófico"),AND(AB19="Muy Alta",AD19="Catastrófico")),"Extremo","")))),"")</f>
        <v>Bajo</v>
      </c>
      <c r="AG19" s="146" t="s">
        <v>31</v>
      </c>
      <c r="AH19" s="147"/>
      <c r="AI19" s="148"/>
      <c r="AJ19" s="149"/>
      <c r="AK19" s="149"/>
      <c r="AL19" s="147"/>
      <c r="AM19" s="150"/>
    </row>
    <row r="20" spans="2:39" ht="84" customHeight="1" x14ac:dyDescent="0.25">
      <c r="B20" s="181" t="s">
        <v>498</v>
      </c>
      <c r="C20" s="289"/>
      <c r="D20" s="291"/>
      <c r="E20" s="293"/>
      <c r="F20" s="293"/>
      <c r="G20" s="307"/>
      <c r="H20" s="291"/>
      <c r="I20" s="297"/>
      <c r="J20" s="281"/>
      <c r="K20" s="279"/>
      <c r="L20" s="277"/>
      <c r="M20" s="279">
        <f>IF(NOT(ISERROR(MATCH(L20,_xlfn.ANCHORARRAY(G22),0))),#REF!&amp;"Por favor no seleccionar los criterios de impacto",L20)</f>
        <v>0</v>
      </c>
      <c r="N20" s="281"/>
      <c r="O20" s="279"/>
      <c r="P20" s="283"/>
      <c r="Q20" s="137">
        <v>2</v>
      </c>
      <c r="R20" s="156" t="s">
        <v>244</v>
      </c>
      <c r="S20" s="138" t="s">
        <v>246</v>
      </c>
      <c r="T20" s="139" t="str">
        <f t="shared" si="0"/>
        <v>Probabilidad</v>
      </c>
      <c r="U20" s="140" t="s">
        <v>15</v>
      </c>
      <c r="V20" s="140" t="s">
        <v>9</v>
      </c>
      <c r="W20" s="141" t="str">
        <f>IF(AND(U20="Preventivo",V20="Automático"),"50%",IF(AND(U20="Preventivo",V20="Manual"),"40%",IF(AND(U20="Detectivo",V20="Automático"),"40%",IF(AND(U20="Detectivo",V20="Manual"),"30%",IF(AND(U20="Correctivo",V20="Automático"),"35%",IF(AND(U20="Correctivo",V20="Manual"),"25%",""))))))</f>
        <v>30%</v>
      </c>
      <c r="X20" s="140" t="s">
        <v>19</v>
      </c>
      <c r="Y20" s="140" t="s">
        <v>23</v>
      </c>
      <c r="Z20" s="140" t="s">
        <v>120</v>
      </c>
      <c r="AA20" s="142"/>
      <c r="AB20" s="270"/>
      <c r="AC20" s="144">
        <f t="shared" ref="AC20" si="23">+AA20</f>
        <v>0</v>
      </c>
      <c r="AD20" s="143" t="str">
        <f t="shared" ref="AD20" si="24">IFERROR(IF(AE20="","",IF(AE20&lt;=0.2,"Leve",IF(AE20&lt;=0.4,"Menor",IF(AE20&lt;=0.6,"Moderado",IF(AE20&lt;=0.8,"Mayor","Catastrófico"))))),"")</f>
        <v>Leve</v>
      </c>
      <c r="AE20" s="144">
        <f t="shared" ref="AE20" si="25">IFERROR(IF(T20="Impacto",(O20-(+O20*W20)),IF(T20="Probabilidad",O20,"")),"")</f>
        <v>0</v>
      </c>
      <c r="AF20" s="272"/>
      <c r="AG20" s="146" t="s">
        <v>136</v>
      </c>
      <c r="AH20" s="147"/>
      <c r="AI20" s="148"/>
      <c r="AJ20" s="149"/>
      <c r="AK20" s="149"/>
      <c r="AL20" s="147"/>
      <c r="AM20" s="150"/>
    </row>
    <row r="21" spans="2:39" ht="142.5" customHeight="1" x14ac:dyDescent="0.25">
      <c r="B21" s="181"/>
      <c r="C21" s="176">
        <v>6</v>
      </c>
      <c r="D21" s="130" t="s">
        <v>132</v>
      </c>
      <c r="E21" s="131" t="s">
        <v>247</v>
      </c>
      <c r="F21" s="131" t="s">
        <v>248</v>
      </c>
      <c r="G21" s="152" t="s">
        <v>249</v>
      </c>
      <c r="H21" s="130" t="s">
        <v>129</v>
      </c>
      <c r="I21" s="153">
        <v>365</v>
      </c>
      <c r="J21" s="133" t="str">
        <f>IF(I21&lt;=0,"",IF(I21&lt;=2,"Muy Baja",IF(I21&lt;=24,"Baja",IF(I21&lt;=500,"Media",IF(I21&lt;=5000,"Alta","Muy Alta")))))</f>
        <v>Media</v>
      </c>
      <c r="K21" s="134">
        <f>IF(J21="","",IF(J21="Muy Baja",0.2,IF(J21="Baja",0.4,IF(J21="Media",0.6,IF(J21="Alta",0.8,IF(J21="Muy Alta",1,))))))</f>
        <v>0.6</v>
      </c>
      <c r="L21" s="135" t="s">
        <v>143</v>
      </c>
      <c r="M21" s="134" t="str">
        <f>IF(NOT(ISERROR(MATCH(L21,'Tabla Impacto'!$B$221:$B$223,0))),'Tabla Impacto'!$F$223&amp;"Por favor no seleccionar los criterios de impacto(Afectación Económica o presupuestal y Pérdida Reputacional)",L21)</f>
        <v xml:space="preserve">     Afectación menor a 10 SMLMV .</v>
      </c>
      <c r="N21" s="133" t="str">
        <f>IF(OR(M21='Tabla Impacto'!$C$11,M21='Tabla Impacto'!$D$11),"Leve",IF(OR(M21='Tabla Impacto'!$C$12,M21='Tabla Impacto'!$D$12),"Menor",IF(OR(M21='Tabla Impacto'!$C$13,M21='Tabla Impacto'!$D$13),"Moderado",IF(OR(M21='Tabla Impacto'!$C$14,M21='Tabla Impacto'!$D$14),"Mayor",IF(OR(M21='Tabla Impacto'!$C$15,M21='Tabla Impacto'!$D$15),"Catastrófico","")))))</f>
        <v>Leve</v>
      </c>
      <c r="O21" s="134">
        <f>IF(N21="","",IF(N21="Leve",0.2,IF(N21="Menor",0.4,IF(N21="Moderado",0.6,IF(N21="Mayor",0.8,IF(N21="Catastrófico",1,))))))</f>
        <v>0.2</v>
      </c>
      <c r="P21" s="136" t="str">
        <f>IF(OR(AND(J21="Muy Baja",N21="Leve"),AND(J21="Muy Baja",N21="Menor"),AND(J21="Baja",N21="Leve")),"Bajo",IF(OR(AND(J21="Muy baja",N21="Moderado"),AND(J21="Baja",N21="Menor"),AND(J21="Baja",N21="Moderado"),AND(J21="Media",N21="Leve"),AND(J21="Media",N21="Menor"),AND(J21="Media",N21="Moderado"),AND(J21="Alta",N21="Leve"),AND(J21="Alta",N21="Menor")),"Moderado",IF(OR(AND(J21="Muy Baja",N21="Mayor"),AND(J21="Baja",N21="Mayor"),AND(J21="Media",N21="Mayor"),AND(J21="Alta",N21="Moderado"),AND(J21="Alta",N21="Mayor"),AND(J21="Muy Alta",N21="Leve"),AND(J21="Muy Alta",N21="Menor"),AND(J21="Muy Alta",N21="Moderado"),AND(J21="Muy Alta",N21="Mayor")),"Alto",IF(OR(AND(J21="Muy Baja",N21="Catastrófico"),AND(J21="Baja",N21="Catastrófico"),AND(J21="Media",N21="Catastrófico"),AND(J21="Alta",N21="Catastrófico"),AND(J21="Muy Alta",N21="Catastrófico")),"Extremo",""))))</f>
        <v>Moderado</v>
      </c>
      <c r="Q21" s="137">
        <v>1</v>
      </c>
      <c r="R21" s="156" t="s">
        <v>244</v>
      </c>
      <c r="S21" s="138" t="s">
        <v>250</v>
      </c>
      <c r="T21" s="139" t="str">
        <f t="shared" si="0"/>
        <v>Probabilidad</v>
      </c>
      <c r="U21" s="140" t="s">
        <v>14</v>
      </c>
      <c r="V21" s="140" t="s">
        <v>9</v>
      </c>
      <c r="W21" s="141" t="str">
        <f t="shared" ref="W21" si="26">IF(AND(U21="Preventivo",V21="Automático"),"50%",IF(AND(U21="Preventivo",V21="Manual"),"40%",IF(AND(U21="Detectivo",V21="Automático"),"40%",IF(AND(U21="Detectivo",V21="Manual"),"30%",IF(AND(U21="Correctivo",V21="Automático"),"35%",IF(AND(U21="Correctivo",V21="Manual"),"25%",""))))))</f>
        <v>40%</v>
      </c>
      <c r="X21" s="140" t="s">
        <v>20</v>
      </c>
      <c r="Y21" s="140" t="s">
        <v>22</v>
      </c>
      <c r="Z21" s="140" t="s">
        <v>119</v>
      </c>
      <c r="AA21" s="142">
        <f>IFERROR(IF(T21="Probabilidad",(K21-(+K21*W21)),IF(T21="Impacto",K21,"")),"")</f>
        <v>0.36</v>
      </c>
      <c r="AB21" s="143" t="str">
        <f t="shared" si="11"/>
        <v>Baja</v>
      </c>
      <c r="AC21" s="144">
        <f t="shared" ref="AC21" si="27">+AA21</f>
        <v>0.36</v>
      </c>
      <c r="AD21" s="143" t="str">
        <f t="shared" si="12"/>
        <v>Leve</v>
      </c>
      <c r="AE21" s="144">
        <f t="shared" si="13"/>
        <v>0.2</v>
      </c>
      <c r="AF21" s="145" t="str">
        <f t="shared" ref="AF21" si="28">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Bajo</v>
      </c>
      <c r="AG21" s="146" t="s">
        <v>31</v>
      </c>
      <c r="AH21" s="147"/>
      <c r="AI21" s="148"/>
      <c r="AJ21" s="149"/>
      <c r="AK21" s="149"/>
      <c r="AL21" s="147"/>
      <c r="AM21" s="150"/>
    </row>
    <row r="22" spans="2:39" ht="198" customHeight="1" x14ac:dyDescent="0.25">
      <c r="B22" s="181"/>
      <c r="C22" s="176">
        <v>7</v>
      </c>
      <c r="D22" s="130" t="s">
        <v>132</v>
      </c>
      <c r="E22" s="131" t="s">
        <v>251</v>
      </c>
      <c r="F22" s="131" t="s">
        <v>252</v>
      </c>
      <c r="G22" s="152" t="s">
        <v>253</v>
      </c>
      <c r="H22" s="130" t="s">
        <v>129</v>
      </c>
      <c r="I22" s="153">
        <v>365</v>
      </c>
      <c r="J22" s="133" t="str">
        <f>IF(I22&lt;=0,"",IF(I22&lt;=2,"Muy Baja",IF(I22&lt;=24,"Baja",IF(I22&lt;=500,"Media",IF(I22&lt;=5000,"Alta","Muy Alta")))))</f>
        <v>Media</v>
      </c>
      <c r="K22" s="134">
        <f>IF(J22="","",IF(J22="Muy Baja",0.2,IF(J22="Baja",0.4,IF(J22="Media",0.6,IF(J22="Alta",0.8,IF(J22="Muy Alta",1,))))))</f>
        <v>0.6</v>
      </c>
      <c r="L22" s="135" t="s">
        <v>143</v>
      </c>
      <c r="M22" s="134" t="str">
        <f>IF(NOT(ISERROR(MATCH(L22,'Tabla Impacto'!$B$221:$B$223,0))),'Tabla Impacto'!$F$223&amp;"Por favor no seleccionar los criterios de impacto(Afectación Económica o presupuestal y Pérdida Reputacional)",L22)</f>
        <v xml:space="preserve">     Afectación menor a 10 SMLMV .</v>
      </c>
      <c r="N22" s="133" t="str">
        <f>IF(OR(M22='Tabla Impacto'!$C$11,M22='Tabla Impacto'!$D$11),"Leve",IF(OR(M22='Tabla Impacto'!$C$12,M22='Tabla Impacto'!$D$12),"Menor",IF(OR(M22='Tabla Impacto'!$C$13,M22='Tabla Impacto'!$D$13),"Moderado",IF(OR(M22='Tabla Impacto'!$C$14,M22='Tabla Impacto'!$D$14),"Mayor",IF(OR(M22='Tabla Impacto'!$C$15,M22='Tabla Impacto'!$D$15),"Catastrófico","")))))</f>
        <v>Leve</v>
      </c>
      <c r="O22" s="134">
        <f>IF(N22="","",IF(N22="Leve",0.2,IF(N22="Menor",0.4,IF(N22="Moderado",0.6,IF(N22="Mayor",0.8,IF(N22="Catastrófico",1,))))))</f>
        <v>0.2</v>
      </c>
      <c r="P22" s="136" t="str">
        <f>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Moderado</v>
      </c>
      <c r="Q22" s="137">
        <v>1</v>
      </c>
      <c r="R22" s="156" t="s">
        <v>244</v>
      </c>
      <c r="S22" s="138" t="s">
        <v>254</v>
      </c>
      <c r="T22" s="139" t="str">
        <f t="shared" si="0"/>
        <v>Impacto</v>
      </c>
      <c r="U22" s="140" t="s">
        <v>16</v>
      </c>
      <c r="V22" s="140" t="s">
        <v>9</v>
      </c>
      <c r="W22" s="141" t="str">
        <f t="shared" ref="W22" si="29">IF(AND(U22="Preventivo",V22="Automático"),"50%",IF(AND(U22="Preventivo",V22="Manual"),"40%",IF(AND(U22="Detectivo",V22="Automático"),"40%",IF(AND(U22="Detectivo",V22="Manual"),"30%",IF(AND(U22="Correctivo",V22="Automático"),"35%",IF(AND(U22="Correctivo",V22="Manual"),"25%",""))))))</f>
        <v>25%</v>
      </c>
      <c r="X22" s="140" t="s">
        <v>20</v>
      </c>
      <c r="Y22" s="140" t="s">
        <v>23</v>
      </c>
      <c r="Z22" s="140" t="s">
        <v>119</v>
      </c>
      <c r="AA22" s="142">
        <f>IFERROR(IF(T22="Probabilidad",(K22-(+K22*W22)),IF(T22="Impacto",K22,"")),"")</f>
        <v>0.6</v>
      </c>
      <c r="AB22" s="143" t="str">
        <f t="shared" si="11"/>
        <v>Media</v>
      </c>
      <c r="AC22" s="144">
        <f t="shared" ref="AC22" si="30">+AA22</f>
        <v>0.6</v>
      </c>
      <c r="AD22" s="143" t="str">
        <f t="shared" si="12"/>
        <v>Leve</v>
      </c>
      <c r="AE22" s="144">
        <f t="shared" si="13"/>
        <v>0.15000000000000002</v>
      </c>
      <c r="AF22" s="145" t="str">
        <f t="shared" ref="AF22" si="31">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Moderado</v>
      </c>
      <c r="AG22" s="146" t="s">
        <v>136</v>
      </c>
      <c r="AH22" s="147"/>
      <c r="AI22" s="148"/>
      <c r="AJ22" s="149"/>
      <c r="AK22" s="149"/>
      <c r="AL22" s="147"/>
      <c r="AM22" s="150"/>
    </row>
    <row r="23" spans="2:39" ht="156" customHeight="1" thickBot="1" x14ac:dyDescent="0.3">
      <c r="B23" s="182"/>
      <c r="C23" s="176">
        <v>8</v>
      </c>
      <c r="D23" s="130" t="s">
        <v>131</v>
      </c>
      <c r="E23" s="131" t="s">
        <v>255</v>
      </c>
      <c r="F23" s="131" t="s">
        <v>256</v>
      </c>
      <c r="G23" s="152" t="s">
        <v>257</v>
      </c>
      <c r="H23" s="130" t="s">
        <v>123</v>
      </c>
      <c r="I23" s="153">
        <v>180</v>
      </c>
      <c r="J23" s="133" t="str">
        <f>IF(I23&lt;=0,"",IF(I23&lt;=2,"Muy Baja",IF(I23&lt;=24,"Baja",IF(I23&lt;=500,"Media",IF(I23&lt;=5000,"Alta","Muy Alta")))))</f>
        <v>Media</v>
      </c>
      <c r="K23" s="134">
        <f>IF(J23="","",IF(J23="Muy Baja",0.2,IF(J23="Baja",0.4,IF(J23="Media",0.6,IF(J23="Alta",0.8,IF(J23="Muy Alta",1,))))))</f>
        <v>0.6</v>
      </c>
      <c r="L23" s="135" t="s">
        <v>143</v>
      </c>
      <c r="M23" s="134" t="str">
        <f>IF(NOT(ISERROR(MATCH(L23,'Tabla Impacto'!$B$221:$B$223,0))),'Tabla Impacto'!$F$223&amp;"Por favor no seleccionar los criterios de impacto(Afectación Económica o presupuestal y Pérdida Reputacional)",L23)</f>
        <v xml:space="preserve">     Afectación menor a 10 SMLMV .</v>
      </c>
      <c r="N23" s="133" t="str">
        <f>IF(OR(M23='Tabla Impacto'!$C$11,M23='Tabla Impacto'!$D$11),"Leve",IF(OR(M23='Tabla Impacto'!$C$12,M23='Tabla Impacto'!$D$12),"Menor",IF(OR(M23='Tabla Impacto'!$C$13,M23='Tabla Impacto'!$D$13),"Moderado",IF(OR(M23='Tabla Impacto'!$C$14,M23='Tabla Impacto'!$D$14),"Mayor",IF(OR(M23='Tabla Impacto'!$C$15,M23='Tabla Impacto'!$D$15),"Catastrófico","")))))</f>
        <v>Leve</v>
      </c>
      <c r="O23" s="134">
        <f>IF(N23="","",IF(N23="Leve",0.2,IF(N23="Menor",0.4,IF(N23="Moderado",0.6,IF(N23="Mayor",0.8,IF(N23="Catastrófico",1,))))))</f>
        <v>0.2</v>
      </c>
      <c r="P23" s="136" t="str">
        <f>IF(OR(AND(J23="Muy Baja",N23="Leve"),AND(J23="Muy Baja",N23="Menor"),AND(J23="Baja",N23="Leve")),"Bajo",IF(OR(AND(J23="Muy baja",N23="Moderado"),AND(J23="Baja",N23="Menor"),AND(J23="Baja",N23="Moderado"),AND(J23="Media",N23="Leve"),AND(J23="Media",N23="Menor"),AND(J23="Media",N23="Moderado"),AND(J23="Alta",N23="Leve"),AND(J23="Alta",N23="Menor")),"Moderado",IF(OR(AND(J23="Muy Baja",N23="Mayor"),AND(J23="Baja",N23="Mayor"),AND(J23="Media",N23="Mayor"),AND(J23="Alta",N23="Moderado"),AND(J23="Alta",N23="Mayor"),AND(J23="Muy Alta",N23="Leve"),AND(J23="Muy Alta",N23="Menor"),AND(J23="Muy Alta",N23="Moderado"),AND(J23="Muy Alta",N23="Mayor")),"Alto",IF(OR(AND(J23="Muy Baja",N23="Catastrófico"),AND(J23="Baja",N23="Catastrófico"),AND(J23="Media",N23="Catastrófico"),AND(J23="Alta",N23="Catastrófico"),AND(J23="Muy Alta",N23="Catastrófico")),"Extremo",""))))</f>
        <v>Moderado</v>
      </c>
      <c r="Q23" s="137">
        <v>1</v>
      </c>
      <c r="R23" s="156" t="s">
        <v>244</v>
      </c>
      <c r="S23" s="138" t="s">
        <v>258</v>
      </c>
      <c r="T23" s="139" t="str">
        <f t="shared" si="0"/>
        <v>Probabilidad</v>
      </c>
      <c r="U23" s="140" t="s">
        <v>14</v>
      </c>
      <c r="V23" s="140" t="s">
        <v>9</v>
      </c>
      <c r="W23" s="141" t="str">
        <f t="shared" ref="W23" si="32">IF(AND(U23="Preventivo",V23="Automático"),"50%",IF(AND(U23="Preventivo",V23="Manual"),"40%",IF(AND(U23="Detectivo",V23="Automático"),"40%",IF(AND(U23="Detectivo",V23="Manual"),"30%",IF(AND(U23="Correctivo",V23="Automático"),"35%",IF(AND(U23="Correctivo",V23="Manual"),"25%",""))))))</f>
        <v>40%</v>
      </c>
      <c r="X23" s="140" t="s">
        <v>19</v>
      </c>
      <c r="Y23" s="140" t="s">
        <v>22</v>
      </c>
      <c r="Z23" s="140" t="s">
        <v>119</v>
      </c>
      <c r="AA23" s="142">
        <f>IFERROR(IF(T23="Probabilidad",(K23-(+K23*W23)),IF(T23="Impacto",K23,"")),"")</f>
        <v>0.36</v>
      </c>
      <c r="AB23" s="143" t="str">
        <f t="shared" si="11"/>
        <v>Baja</v>
      </c>
      <c r="AC23" s="144">
        <f t="shared" ref="AC23" si="33">+AA23</f>
        <v>0.36</v>
      </c>
      <c r="AD23" s="143" t="str">
        <f t="shared" si="12"/>
        <v>Leve</v>
      </c>
      <c r="AE23" s="144">
        <f t="shared" si="13"/>
        <v>0.2</v>
      </c>
      <c r="AF23" s="145" t="str">
        <f t="shared" ref="AF23" si="34">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Bajo</v>
      </c>
      <c r="AG23" s="146" t="s">
        <v>31</v>
      </c>
      <c r="AH23" s="147"/>
      <c r="AI23" s="148"/>
      <c r="AJ23" s="149"/>
      <c r="AK23" s="149"/>
      <c r="AL23" s="147"/>
      <c r="AM23" s="150"/>
    </row>
    <row r="24" spans="2:39" ht="84" customHeight="1" x14ac:dyDescent="0.25">
      <c r="B24" s="183" t="s">
        <v>497</v>
      </c>
      <c r="C24" s="288">
        <v>9</v>
      </c>
      <c r="D24" s="290" t="s">
        <v>133</v>
      </c>
      <c r="E24" s="300" t="s">
        <v>255</v>
      </c>
      <c r="F24" s="292" t="s">
        <v>259</v>
      </c>
      <c r="G24" s="294" t="s">
        <v>260</v>
      </c>
      <c r="H24" s="290" t="s">
        <v>123</v>
      </c>
      <c r="I24" s="296">
        <v>130</v>
      </c>
      <c r="J24" s="280" t="str">
        <f>IF(I24&lt;=0,"",IF(I24&lt;=2,"Muy Baja",IF(I24&lt;=24,"Baja",IF(I24&lt;=500,"Media",IF(I24&lt;=5000,"Alta","Muy Alta")))))</f>
        <v>Media</v>
      </c>
      <c r="K24" s="278">
        <f>IF(J24="","",IF(J24="Muy Baja",0.2,IF(J24="Baja",0.4,IF(J24="Media",0.6,IF(J24="Alta",0.8,IF(J24="Muy Alta",1,))))))</f>
        <v>0.6</v>
      </c>
      <c r="L24" s="276" t="s">
        <v>146</v>
      </c>
      <c r="M24" s="278" t="str">
        <f>IF(NOT(ISERROR(MATCH(L24,'Tabla Impacto'!$B$221:$B$223,0))),'Tabla Impacto'!$F$223&amp;"Por favor no seleccionar los criterios de impacto(Afectación Económica o presupuestal y Pérdida Reputacional)",L24)</f>
        <v xml:space="preserve">     Entre 50 y 100 SMLMV </v>
      </c>
      <c r="N24" s="280" t="str">
        <f>IF(OR(M24='Tabla Impacto'!$C$11,M24='Tabla Impacto'!$D$11),"Leve",IF(OR(M24='Tabla Impacto'!$C$12,M24='Tabla Impacto'!$D$12),"Menor",IF(OR(M24='Tabla Impacto'!$C$13,M24='Tabla Impacto'!$D$13),"Moderado",IF(OR(M24='Tabla Impacto'!$C$14,M24='Tabla Impacto'!$D$14),"Mayor",IF(OR(M24='Tabla Impacto'!$C$15,M24='Tabla Impacto'!$D$15),"Catastrófico","")))))</f>
        <v>Moderado</v>
      </c>
      <c r="O24" s="278">
        <f>IF(N24="","",IF(N24="Leve",0.2,IF(N24="Menor",0.4,IF(N24="Moderado",0.6,IF(N24="Mayor",0.8,IF(N24="Catastrófico",1,))))))</f>
        <v>0.6</v>
      </c>
      <c r="P24" s="282" t="str">
        <f>IF(OR(AND(J24="Muy Baja",N24="Leve"),AND(J24="Muy Baja",N24="Menor"),AND(J24="Baja",N24="Leve")),"Bajo",IF(OR(AND(J24="Muy baja",N24="Moderado"),AND(J24="Baja",N24="Menor"),AND(J24="Baja",N24="Moderado"),AND(J24="Media",N24="Leve"),AND(J24="Media",N24="Menor"),AND(J24="Media",N24="Moderado"),AND(J24="Alta",N24="Leve"),AND(J24="Alta",N24="Menor")),"Moderado",IF(OR(AND(J24="Muy Baja",N24="Mayor"),AND(J24="Baja",N24="Mayor"),AND(J24="Media",N24="Mayor"),AND(J24="Alta",N24="Moderado"),AND(J24="Alta",N24="Mayor"),AND(J24="Muy Alta",N24="Leve"),AND(J24="Muy Alta",N24="Menor"),AND(J24="Muy Alta",N24="Moderado"),AND(J24="Muy Alta",N24="Mayor")),"Alto",IF(OR(AND(J24="Muy Baja",N24="Catastrófico"),AND(J24="Baja",N24="Catastrófico"),AND(J24="Media",N24="Catastrófico"),AND(J24="Alta",N24="Catastrófico"),AND(J24="Muy Alta",N24="Catastrófico")),"Extremo",""))))</f>
        <v>Moderado</v>
      </c>
      <c r="Q24" s="137">
        <v>1</v>
      </c>
      <c r="R24" s="156" t="s">
        <v>261</v>
      </c>
      <c r="S24" s="138" t="s">
        <v>262</v>
      </c>
      <c r="T24" s="139" t="str">
        <f t="shared" si="0"/>
        <v>Probabilidad</v>
      </c>
      <c r="U24" s="140" t="s">
        <v>14</v>
      </c>
      <c r="V24" s="140" t="s">
        <v>9</v>
      </c>
      <c r="W24" s="141" t="str">
        <f t="shared" ref="W24:W26" si="35">IF(AND(U24="Preventivo",V24="Automático"),"50%",IF(AND(U24="Preventivo",V24="Manual"),"40%",IF(AND(U24="Detectivo",V24="Automático"),"40%",IF(AND(U24="Detectivo",V24="Manual"),"30%",IF(AND(U24="Correctivo",V24="Automático"),"35%",IF(AND(U24="Correctivo",V24="Manual"),"25%",""))))))</f>
        <v>40%</v>
      </c>
      <c r="X24" s="140" t="s">
        <v>19</v>
      </c>
      <c r="Y24" s="140" t="s">
        <v>22</v>
      </c>
      <c r="Z24" s="140" t="s">
        <v>119</v>
      </c>
      <c r="AA24" s="142">
        <f>IFERROR(IF(T24="Probabilidad",(K24-(+K24*W24)),IF(T24="Impacto",K24,"")),"")</f>
        <v>0.36</v>
      </c>
      <c r="AB24" s="166" t="str">
        <f t="shared" si="11"/>
        <v>Baja</v>
      </c>
      <c r="AC24" s="144">
        <f t="shared" ref="AC24:AC26" si="36">+AA24</f>
        <v>0.36</v>
      </c>
      <c r="AD24" s="143" t="str">
        <f t="shared" si="12"/>
        <v>Moderado</v>
      </c>
      <c r="AE24" s="144">
        <f t="shared" si="13"/>
        <v>0.6</v>
      </c>
      <c r="AF24" s="167" t="str">
        <f t="shared" ref="AF24:AF26" si="37">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Moderado</v>
      </c>
      <c r="AG24" s="146" t="s">
        <v>31</v>
      </c>
      <c r="AH24" s="147"/>
      <c r="AI24" s="148"/>
      <c r="AJ24" s="149"/>
      <c r="AK24" s="149"/>
      <c r="AL24" s="147"/>
      <c r="AM24" s="150"/>
    </row>
    <row r="25" spans="2:39" ht="84" customHeight="1" x14ac:dyDescent="0.25">
      <c r="B25" s="184" t="s">
        <v>499</v>
      </c>
      <c r="C25" s="289"/>
      <c r="D25" s="291"/>
      <c r="E25" s="301"/>
      <c r="F25" s="293"/>
      <c r="G25" s="295"/>
      <c r="H25" s="291"/>
      <c r="I25" s="297"/>
      <c r="J25" s="281"/>
      <c r="K25" s="279"/>
      <c r="L25" s="277"/>
      <c r="M25" s="279">
        <f>IF(NOT(ISERROR(MATCH(L25,_xlfn.ANCHORARRAY(#REF!),0))),#REF!&amp;"Por favor no seleccionar los criterios de impacto",L25)</f>
        <v>0</v>
      </c>
      <c r="N25" s="281"/>
      <c r="O25" s="279"/>
      <c r="P25" s="283"/>
      <c r="Q25" s="137">
        <v>2</v>
      </c>
      <c r="R25" s="156" t="s">
        <v>261</v>
      </c>
      <c r="S25" s="138" t="s">
        <v>263</v>
      </c>
      <c r="T25" s="139" t="str">
        <f t="shared" si="0"/>
        <v>Probabilidad</v>
      </c>
      <c r="U25" s="140" t="s">
        <v>14</v>
      </c>
      <c r="V25" s="140" t="s">
        <v>10</v>
      </c>
      <c r="W25" s="141" t="str">
        <f t="shared" si="35"/>
        <v>50%</v>
      </c>
      <c r="X25" s="140" t="s">
        <v>19</v>
      </c>
      <c r="Y25" s="140" t="s">
        <v>22</v>
      </c>
      <c r="Z25" s="140" t="s">
        <v>119</v>
      </c>
      <c r="AA25" s="142">
        <f t="shared" ref="AA25:AA26" si="38">IFERROR(IF(T25="Probabilidad",(K25-(+K25*W25)),IF(T25="Impacto",K25,"")),"")</f>
        <v>0</v>
      </c>
      <c r="AB25" s="166" t="str">
        <f t="shared" si="11"/>
        <v>Muy Baja</v>
      </c>
      <c r="AC25" s="144">
        <f t="shared" si="36"/>
        <v>0</v>
      </c>
      <c r="AD25" s="143" t="str">
        <f t="shared" si="12"/>
        <v>Leve</v>
      </c>
      <c r="AE25" s="144">
        <f t="shared" si="13"/>
        <v>0</v>
      </c>
      <c r="AF25" s="167" t="str">
        <f t="shared" si="37"/>
        <v>Bajo</v>
      </c>
      <c r="AG25" s="146" t="s">
        <v>31</v>
      </c>
      <c r="AH25" s="147"/>
      <c r="AI25" s="148"/>
      <c r="AJ25" s="149"/>
      <c r="AK25" s="149"/>
      <c r="AL25" s="147"/>
      <c r="AM25" s="150"/>
    </row>
    <row r="26" spans="2:39" ht="84" customHeight="1" x14ac:dyDescent="0.25">
      <c r="B26" s="184"/>
      <c r="C26" s="289"/>
      <c r="D26" s="291"/>
      <c r="E26" s="302"/>
      <c r="F26" s="293"/>
      <c r="G26" s="303"/>
      <c r="H26" s="291"/>
      <c r="I26" s="297"/>
      <c r="J26" s="281"/>
      <c r="K26" s="279"/>
      <c r="L26" s="277"/>
      <c r="M26" s="279">
        <f>IF(NOT(ISERROR(MATCH(L26,_xlfn.ANCHORARRAY(#REF!),0))),#REF!&amp;"Por favor no seleccionar los criterios de impacto",L26)</f>
        <v>0</v>
      </c>
      <c r="N26" s="281"/>
      <c r="O26" s="279"/>
      <c r="P26" s="283"/>
      <c r="Q26" s="137">
        <v>3</v>
      </c>
      <c r="R26" s="156" t="s">
        <v>261</v>
      </c>
      <c r="S26" s="138" t="s">
        <v>264</v>
      </c>
      <c r="T26" s="139" t="str">
        <f t="shared" si="0"/>
        <v>Probabilidad</v>
      </c>
      <c r="U26" s="140" t="s">
        <v>14</v>
      </c>
      <c r="V26" s="140" t="s">
        <v>9</v>
      </c>
      <c r="W26" s="141" t="str">
        <f t="shared" si="35"/>
        <v>40%</v>
      </c>
      <c r="X26" s="140" t="s">
        <v>19</v>
      </c>
      <c r="Y26" s="140" t="s">
        <v>22</v>
      </c>
      <c r="Z26" s="140" t="s">
        <v>119</v>
      </c>
      <c r="AA26" s="142">
        <f t="shared" si="38"/>
        <v>0</v>
      </c>
      <c r="AB26" s="166" t="str">
        <f t="shared" si="11"/>
        <v>Muy Baja</v>
      </c>
      <c r="AC26" s="144">
        <f t="shared" si="36"/>
        <v>0</v>
      </c>
      <c r="AD26" s="143" t="str">
        <f t="shared" si="12"/>
        <v>Leve</v>
      </c>
      <c r="AE26" s="144">
        <f t="shared" si="13"/>
        <v>0</v>
      </c>
      <c r="AF26" s="167" t="str">
        <f t="shared" si="37"/>
        <v>Bajo</v>
      </c>
      <c r="AG26" s="146" t="s">
        <v>31</v>
      </c>
      <c r="AH26" s="147"/>
      <c r="AI26" s="148"/>
      <c r="AJ26" s="149"/>
      <c r="AK26" s="149"/>
      <c r="AL26" s="147"/>
      <c r="AM26" s="150"/>
    </row>
    <row r="27" spans="2:39" ht="84" customHeight="1" x14ac:dyDescent="0.25">
      <c r="B27" s="185"/>
      <c r="C27" s="288">
        <v>10</v>
      </c>
      <c r="D27" s="290" t="s">
        <v>133</v>
      </c>
      <c r="E27" s="292" t="s">
        <v>265</v>
      </c>
      <c r="F27" s="292" t="s">
        <v>266</v>
      </c>
      <c r="G27" s="393" t="s">
        <v>267</v>
      </c>
      <c r="H27" s="290" t="s">
        <v>123</v>
      </c>
      <c r="I27" s="296">
        <v>1000</v>
      </c>
      <c r="J27" s="280" t="str">
        <f>IF(I27&lt;=0,"",IF(I27&lt;=2,"Muy Baja",IF(I27&lt;=24,"Baja",IF(I27&lt;=500,"Media",IF(I27&lt;=5000,"Alta","Muy Alta")))))</f>
        <v>Alta</v>
      </c>
      <c r="K27" s="278">
        <f>IF(J27="","",IF(J27="Muy Baja",0.2,IF(J27="Baja",0.4,IF(J27="Media",0.6,IF(J27="Alta",0.8,IF(J27="Muy Alta",1,))))))</f>
        <v>0.8</v>
      </c>
      <c r="L27" s="276" t="s">
        <v>146</v>
      </c>
      <c r="M27" s="278" t="str">
        <f>IF(NOT(ISERROR(MATCH(L27,'Tabla Impacto'!$B$221:$B$223,0))),'Tabla Impacto'!$F$223&amp;"Por favor no seleccionar los criterios de impacto(Afectación Económica o presupuestal y Pérdida Reputacional)",L27)</f>
        <v xml:space="preserve">     Entre 50 y 100 SMLMV </v>
      </c>
      <c r="N27" s="280" t="str">
        <f>IF(OR(M27='Tabla Impacto'!$C$11,M27='Tabla Impacto'!$D$11),"Leve",IF(OR(M27='Tabla Impacto'!$C$12,M27='Tabla Impacto'!$D$12),"Menor",IF(OR(M27='Tabla Impacto'!$C$13,M27='Tabla Impacto'!$D$13),"Moderado",IF(OR(M27='Tabla Impacto'!$C$14,M27='Tabla Impacto'!$D$14),"Mayor",IF(OR(M27='Tabla Impacto'!$C$15,M27='Tabla Impacto'!$D$15),"Catastrófico","")))))</f>
        <v>Moderado</v>
      </c>
      <c r="O27" s="278">
        <f>IF(N27="","",IF(N27="Leve",0.2,IF(N27="Menor",0.4,IF(N27="Moderado",0.6,IF(N27="Mayor",0.8,IF(N27="Catastrófico",1,))))))</f>
        <v>0.6</v>
      </c>
      <c r="P27" s="282" t="str">
        <f>IF(OR(AND(J27="Muy Baja",N27="Leve"),AND(J27="Muy Baja",N27="Menor"),AND(J27="Baja",N27="Leve")),"Bajo",IF(OR(AND(J27="Muy baja",N27="Moderado"),AND(J27="Baja",N27="Menor"),AND(J27="Baja",N27="Moderado"),AND(J27="Media",N27="Leve"),AND(J27="Media",N27="Menor"),AND(J27="Media",N27="Moderado"),AND(J27="Alta",N27="Leve"),AND(J27="Alta",N27="Menor")),"Moderado",IF(OR(AND(J27="Muy Baja",N27="Mayor"),AND(J27="Baja",N27="Mayor"),AND(J27="Media",N27="Mayor"),AND(J27="Alta",N27="Moderado"),AND(J27="Alta",N27="Mayor"),AND(J27="Muy Alta",N27="Leve"),AND(J27="Muy Alta",N27="Menor"),AND(J27="Muy Alta",N27="Moderado"),AND(J27="Muy Alta",N27="Mayor")),"Alto",IF(OR(AND(J27="Muy Baja",N27="Catastrófico"),AND(J27="Baja",N27="Catastrófico"),AND(J27="Media",N27="Catastrófico"),AND(J27="Alta",N27="Catastrófico"),AND(J27="Muy Alta",N27="Catastrófico")),"Extremo",""))))</f>
        <v>Alto</v>
      </c>
      <c r="Q27" s="137">
        <v>1</v>
      </c>
      <c r="R27" s="156" t="s">
        <v>261</v>
      </c>
      <c r="S27" s="138" t="s">
        <v>268</v>
      </c>
      <c r="T27" s="139" t="str">
        <f t="shared" si="0"/>
        <v>Probabilidad</v>
      </c>
      <c r="U27" s="140" t="s">
        <v>14</v>
      </c>
      <c r="V27" s="140" t="s">
        <v>9</v>
      </c>
      <c r="W27" s="141" t="str">
        <f t="shared" ref="W27:W29" si="39">IF(AND(U27="Preventivo",V27="Automático"),"50%",IF(AND(U27="Preventivo",V27="Manual"),"40%",IF(AND(U27="Detectivo",V27="Automático"),"40%",IF(AND(U27="Detectivo",V27="Manual"),"30%",IF(AND(U27="Correctivo",V27="Automático"),"35%",IF(AND(U27="Correctivo",V27="Manual"),"25%",""))))))</f>
        <v>40%</v>
      </c>
      <c r="X27" s="140" t="s">
        <v>20</v>
      </c>
      <c r="Y27" s="140" t="s">
        <v>22</v>
      </c>
      <c r="Z27" s="140" t="s">
        <v>120</v>
      </c>
      <c r="AA27" s="142">
        <f t="shared" ref="AA27:AA35" si="40">IFERROR(IF(T27="Probabilidad",(K27-(+K27*W27)),IF(T27="Impacto",K27,"")),"")</f>
        <v>0.48</v>
      </c>
      <c r="AB27" s="166" t="str">
        <f>IFERROR(IF(AA27="","",IF(AA27&lt;=0.2,"Muy Baja",IF(AA27&lt;=0.4,"Baja",IF(AA27&lt;=0.6,"Media",IF(AA27&lt;=0.8,"Alta","Muy Alta"))))),"")</f>
        <v>Media</v>
      </c>
      <c r="AC27" s="144">
        <f t="shared" ref="AC27:AC29" si="41">+AA27</f>
        <v>0.48</v>
      </c>
      <c r="AD27" s="143" t="str">
        <f t="shared" ref="AD27:AD34" si="42">IFERROR(IF(AE27="","",IF(AE27&lt;=0.2,"Leve",IF(AE27&lt;=0.4,"Menor",IF(AE27&lt;=0.6,"Moderado",IF(AE27&lt;=0.8,"Mayor","Catastrófico"))))),"")</f>
        <v>Moderado</v>
      </c>
      <c r="AE27" s="144">
        <f t="shared" si="13"/>
        <v>0.6</v>
      </c>
      <c r="AF27" s="167" t="str">
        <f t="shared" ref="AF27:AF29" si="43">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Moderado</v>
      </c>
      <c r="AG27" s="146" t="s">
        <v>31</v>
      </c>
      <c r="AH27" s="147"/>
      <c r="AI27" s="148"/>
      <c r="AJ27" s="149"/>
      <c r="AK27" s="149"/>
      <c r="AL27" s="147"/>
      <c r="AM27" s="150"/>
    </row>
    <row r="28" spans="2:39" ht="84" customHeight="1" x14ac:dyDescent="0.25">
      <c r="B28" s="184"/>
      <c r="C28" s="289"/>
      <c r="D28" s="291"/>
      <c r="E28" s="293"/>
      <c r="F28" s="293"/>
      <c r="G28" s="394"/>
      <c r="H28" s="291"/>
      <c r="I28" s="297"/>
      <c r="J28" s="281"/>
      <c r="K28" s="279"/>
      <c r="L28" s="277"/>
      <c r="M28" s="279">
        <f>IF(NOT(ISERROR(MATCH(L28,_xlfn.ANCHORARRAY(#REF!),0))),#REF!&amp;"Por favor no seleccionar los criterios de impacto",L28)</f>
        <v>0</v>
      </c>
      <c r="N28" s="281"/>
      <c r="O28" s="279"/>
      <c r="P28" s="283"/>
      <c r="Q28" s="137">
        <v>2</v>
      </c>
      <c r="R28" s="156" t="s">
        <v>261</v>
      </c>
      <c r="S28" s="138" t="s">
        <v>269</v>
      </c>
      <c r="T28" s="139" t="str">
        <f t="shared" si="0"/>
        <v>Probabilidad</v>
      </c>
      <c r="U28" s="140" t="s">
        <v>14</v>
      </c>
      <c r="V28" s="140" t="s">
        <v>9</v>
      </c>
      <c r="W28" s="141" t="str">
        <f t="shared" si="39"/>
        <v>40%</v>
      </c>
      <c r="X28" s="140" t="s">
        <v>20</v>
      </c>
      <c r="Y28" s="140" t="s">
        <v>22</v>
      </c>
      <c r="Z28" s="140" t="s">
        <v>120</v>
      </c>
      <c r="AA28" s="142">
        <f t="shared" si="40"/>
        <v>0</v>
      </c>
      <c r="AB28" s="166" t="str">
        <f>IFERROR(IF(AA28="","",IF(AA28&lt;=0.2,"Muy Baja",IF(AA28&lt;=0.4,"Baja",IF(AA28&lt;=0.6,"Media",IF(AA28&lt;=0.8,"Alta","Muy Alta"))))),"")</f>
        <v>Muy Baja</v>
      </c>
      <c r="AC28" s="144">
        <f t="shared" si="41"/>
        <v>0</v>
      </c>
      <c r="AD28" s="143" t="str">
        <f t="shared" si="42"/>
        <v>Leve</v>
      </c>
      <c r="AE28" s="144">
        <f t="shared" si="13"/>
        <v>0</v>
      </c>
      <c r="AF28" s="167" t="str">
        <f t="shared" si="43"/>
        <v>Bajo</v>
      </c>
      <c r="AG28" s="146" t="s">
        <v>31</v>
      </c>
      <c r="AH28" s="147"/>
      <c r="AI28" s="148"/>
      <c r="AJ28" s="149"/>
      <c r="AK28" s="149"/>
      <c r="AL28" s="147"/>
      <c r="AM28" s="150"/>
    </row>
    <row r="29" spans="2:39" ht="84" customHeight="1" x14ac:dyDescent="0.25">
      <c r="B29" s="184"/>
      <c r="C29" s="289"/>
      <c r="D29" s="291"/>
      <c r="E29" s="293"/>
      <c r="F29" s="293"/>
      <c r="G29" s="395"/>
      <c r="H29" s="291"/>
      <c r="I29" s="297"/>
      <c r="J29" s="281"/>
      <c r="K29" s="279"/>
      <c r="L29" s="277"/>
      <c r="M29" s="279">
        <f>IF(NOT(ISERROR(MATCH(L29,_xlfn.ANCHORARRAY(#REF!),0))),#REF!&amp;"Por favor no seleccionar los criterios de impacto",L29)</f>
        <v>0</v>
      </c>
      <c r="N29" s="281"/>
      <c r="O29" s="279"/>
      <c r="P29" s="283"/>
      <c r="Q29" s="137">
        <v>3</v>
      </c>
      <c r="R29" s="156" t="s">
        <v>261</v>
      </c>
      <c r="S29" s="138" t="s">
        <v>270</v>
      </c>
      <c r="T29" s="139" t="str">
        <f t="shared" si="0"/>
        <v>Probabilidad</v>
      </c>
      <c r="U29" s="140" t="s">
        <v>14</v>
      </c>
      <c r="V29" s="140" t="s">
        <v>9</v>
      </c>
      <c r="W29" s="141" t="str">
        <f t="shared" si="39"/>
        <v>40%</v>
      </c>
      <c r="X29" s="140" t="s">
        <v>20</v>
      </c>
      <c r="Y29" s="140" t="s">
        <v>22</v>
      </c>
      <c r="Z29" s="140" t="s">
        <v>120</v>
      </c>
      <c r="AA29" s="142">
        <f t="shared" si="40"/>
        <v>0</v>
      </c>
      <c r="AB29" s="166" t="str">
        <f>IFERROR(IF(AA29="","",IF(AA29&lt;=0.2,"Muy Baja",IF(AA29&lt;=0.4,"Baja",IF(AA29&lt;=0.6,"Media",IF(AA29&lt;=0.8,"Alta","Muy Alta"))))),"")</f>
        <v>Muy Baja</v>
      </c>
      <c r="AC29" s="144">
        <f t="shared" si="41"/>
        <v>0</v>
      </c>
      <c r="AD29" s="143" t="str">
        <f t="shared" si="42"/>
        <v>Leve</v>
      </c>
      <c r="AE29" s="144">
        <f t="shared" si="13"/>
        <v>0</v>
      </c>
      <c r="AF29" s="167" t="str">
        <f t="shared" si="43"/>
        <v>Bajo</v>
      </c>
      <c r="AG29" s="154" t="s">
        <v>31</v>
      </c>
      <c r="AH29" s="147"/>
      <c r="AI29" s="148"/>
      <c r="AJ29" s="149"/>
      <c r="AK29" s="149"/>
      <c r="AL29" s="147"/>
      <c r="AM29" s="150"/>
    </row>
    <row r="30" spans="2:39" ht="94.5" x14ac:dyDescent="0.25">
      <c r="B30" s="184"/>
      <c r="C30" s="176">
        <v>11</v>
      </c>
      <c r="D30" s="130" t="s">
        <v>133</v>
      </c>
      <c r="E30" s="131" t="s">
        <v>271</v>
      </c>
      <c r="F30" s="131" t="s">
        <v>272</v>
      </c>
      <c r="G30" s="132" t="s">
        <v>273</v>
      </c>
      <c r="H30" s="130" t="s">
        <v>123</v>
      </c>
      <c r="I30" s="153">
        <v>600</v>
      </c>
      <c r="J30" s="133" t="str">
        <f>IF(I30&lt;=0,"",IF(I30&lt;=2,"Muy Baja",IF(I30&lt;=24,"Baja",IF(I30&lt;=500,"Media",IF(I30&lt;=5000,"Alta","Muy Alta")))))</f>
        <v>Alta</v>
      </c>
      <c r="K30" s="134">
        <f>IF(J30="","",IF(J30="Muy Baja",0.2,IF(J30="Baja",0.4,IF(J30="Media",0.6,IF(J30="Alta",0.8,IF(J30="Muy Alta",1,))))))</f>
        <v>0.8</v>
      </c>
      <c r="L30" s="135" t="s">
        <v>146</v>
      </c>
      <c r="M30" s="134" t="str">
        <f>IF(NOT(ISERROR(MATCH(L30,'Tabla Impacto'!$B$221:$B$223,0))),'Tabla Impacto'!$F$223&amp;"Por favor no seleccionar los criterios de impacto(Afectación Económica o presupuestal y Pérdida Reputacional)",L30)</f>
        <v xml:space="preserve">     Entre 50 y 100 SMLMV </v>
      </c>
      <c r="N30" s="133" t="str">
        <f>IF(OR(M30='Tabla Impacto'!$C$11,M30='Tabla Impacto'!$D$11),"Leve",IF(OR(M30='Tabla Impacto'!$C$12,M30='Tabla Impacto'!$D$12),"Menor",IF(OR(M30='Tabla Impacto'!$C$13,M30='Tabla Impacto'!$D$13),"Moderado",IF(OR(M30='Tabla Impacto'!$C$14,M30='Tabla Impacto'!$D$14),"Mayor",IF(OR(M30='Tabla Impacto'!$C$15,M30='Tabla Impacto'!$D$15),"Catastrófico","")))))</f>
        <v>Moderado</v>
      </c>
      <c r="O30" s="134">
        <f>IF(N30="","",IF(N30="Leve",0.2,IF(N30="Menor",0.4,IF(N30="Moderado",0.6,IF(N30="Mayor",0.8,IF(N30="Catastrófico",1,))))))</f>
        <v>0.6</v>
      </c>
      <c r="P30" s="136" t="str">
        <f>IF(OR(AND(J30="Muy Baja",N30="Leve"),AND(J30="Muy Baja",N30="Menor"),AND(J30="Baja",N30="Leve")),"Bajo",IF(OR(AND(J30="Muy baja",N30="Moderado"),AND(J30="Baja",N30="Menor"),AND(J30="Baja",N30="Moderado"),AND(J30="Media",N30="Leve"),AND(J30="Media",N30="Menor"),AND(J30="Media",N30="Moderado"),AND(J30="Alta",N30="Leve"),AND(J30="Alta",N30="Menor")),"Moderado",IF(OR(AND(J30="Muy Baja",N30="Mayor"),AND(J30="Baja",N30="Mayor"),AND(J30="Media",N30="Mayor"),AND(J30="Alta",N30="Moderado"),AND(J30="Alta",N30="Mayor"),AND(J30="Muy Alta",N30="Leve"),AND(J30="Muy Alta",N30="Menor"),AND(J30="Muy Alta",N30="Moderado"),AND(J30="Muy Alta",N30="Mayor")),"Alto",IF(OR(AND(J30="Muy Baja",N30="Catastrófico"),AND(J30="Baja",N30="Catastrófico"),AND(J30="Media",N30="Catastrófico"),AND(J30="Alta",N30="Catastrófico"),AND(J30="Muy Alta",N30="Catastrófico")),"Extremo",""))))</f>
        <v>Alto</v>
      </c>
      <c r="Q30" s="137">
        <v>1</v>
      </c>
      <c r="R30" s="156" t="s">
        <v>261</v>
      </c>
      <c r="S30" s="138" t="s">
        <v>274</v>
      </c>
      <c r="T30" s="139" t="str">
        <f t="shared" ref="T30:T39" si="44">IF(OR(U30="Preventivo",U30="Detectivo"),"Probabilidad",IF(U30="Correctivo","Impacto",""))</f>
        <v>Probabilidad</v>
      </c>
      <c r="U30" s="140" t="s">
        <v>14</v>
      </c>
      <c r="V30" s="140" t="s">
        <v>9</v>
      </c>
      <c r="W30" s="141" t="str">
        <f t="shared" ref="W30:W39" si="45">IF(AND(U30="Preventivo",V30="Automático"),"50%",IF(AND(U30="Preventivo",V30="Manual"),"40%",IF(AND(U30="Detectivo",V30="Automático"),"40%",IF(AND(U30="Detectivo",V30="Manual"),"30%",IF(AND(U30="Correctivo",V30="Automático"),"35%",IF(AND(U30="Correctivo",V30="Manual"),"25%",""))))))</f>
        <v>40%</v>
      </c>
      <c r="X30" s="140" t="s">
        <v>20</v>
      </c>
      <c r="Y30" s="140" t="s">
        <v>22</v>
      </c>
      <c r="Z30" s="140" t="s">
        <v>120</v>
      </c>
      <c r="AA30" s="142">
        <f t="shared" si="40"/>
        <v>0.48</v>
      </c>
      <c r="AB30" s="143" t="str">
        <f>IFERROR(IF(AA30="","",IF(AA30&lt;=0.2,"Muy Baja",IF(AA30&lt;=0.4,"Baja",IF(AA30&lt;=0.6,"Media",IF(AA30&lt;=0.8,"Alta","Muy Alta"))))),"")</f>
        <v>Media</v>
      </c>
      <c r="AC30" s="144">
        <f t="shared" ref="AC30:AC39" si="46">+AA30</f>
        <v>0.48</v>
      </c>
      <c r="AD30" s="143" t="str">
        <f t="shared" si="42"/>
        <v>Moderado</v>
      </c>
      <c r="AE30" s="144">
        <f t="shared" si="13"/>
        <v>0.6</v>
      </c>
      <c r="AF30" s="145" t="str">
        <f t="shared" ref="AF30:AF31" si="47">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Moderado</v>
      </c>
      <c r="AG30" s="146" t="s">
        <v>31</v>
      </c>
      <c r="AH30" s="147"/>
      <c r="AI30" s="148"/>
      <c r="AJ30" s="149"/>
      <c r="AK30" s="149"/>
      <c r="AL30" s="147"/>
      <c r="AM30" s="150"/>
    </row>
    <row r="31" spans="2:39" ht="82.5" x14ac:dyDescent="0.25">
      <c r="B31" s="184"/>
      <c r="C31" s="288">
        <v>12</v>
      </c>
      <c r="D31" s="290" t="s">
        <v>133</v>
      </c>
      <c r="E31" s="292" t="s">
        <v>275</v>
      </c>
      <c r="F31" s="292" t="s">
        <v>276</v>
      </c>
      <c r="G31" s="294" t="s">
        <v>277</v>
      </c>
      <c r="H31" s="290" t="s">
        <v>123</v>
      </c>
      <c r="I31" s="296">
        <v>4000</v>
      </c>
      <c r="J31" s="280" t="str">
        <f>IF(I31&lt;=0,"",IF(I31&lt;=2,"Muy Baja",IF(I31&lt;=24,"Baja",IF(I31&lt;=500,"Media",IF(I31&lt;=5000,"Alta","Muy Alta")))))</f>
        <v>Alta</v>
      </c>
      <c r="K31" s="278">
        <f>IF(J31="","",IF(J31="Muy Baja",0.2,IF(J31="Baja",0.4,IF(J31="Media",0.6,IF(J31="Alta",0.8,IF(J31="Muy Alta",1,))))))</f>
        <v>0.8</v>
      </c>
      <c r="L31" s="276" t="s">
        <v>152</v>
      </c>
      <c r="M31" s="278" t="str">
        <f>IF(NOT(ISERROR(MATCH(L31,'Tabla Impacto'!$B$221:$B$223,0))),'Tabla Impacto'!$F$223&amp;"Por favor no seleccionar los criterios de impacto(Afectación Económica o presupuestal y Pérdida Reputacional)",L31)</f>
        <v xml:space="preserve">     El riesgo afecta la imagen de la entidad con algunos usuarios de relevancia frente al logro de los objetivos</v>
      </c>
      <c r="N31" s="280" t="str">
        <f>IF(OR(M31='Tabla Impacto'!$C$11,M31='Tabla Impacto'!$D$11),"Leve",IF(OR(M31='Tabla Impacto'!$C$12,M31='Tabla Impacto'!$D$12),"Menor",IF(OR(M31='Tabla Impacto'!$C$13,M31='Tabla Impacto'!$D$13),"Moderado",IF(OR(M31='Tabla Impacto'!$C$14,M31='Tabla Impacto'!$D$14),"Mayor",IF(OR(M31='Tabla Impacto'!$C$15,M31='Tabla Impacto'!$D$15),"Catastrófico","")))))</f>
        <v>Moderado</v>
      </c>
      <c r="O31" s="278">
        <f>IF(N31="","",IF(N31="Leve",0.2,IF(N31="Menor",0.4,IF(N31="Moderado",0.6,IF(N31="Mayor",0.8,IF(N31="Catastrófico",1,))))))</f>
        <v>0.6</v>
      </c>
      <c r="P31" s="282" t="str">
        <f>IF(OR(AND(J31="Muy Baja",N31="Leve"),AND(J31="Muy Baja",N31="Menor"),AND(J31="Baja",N31="Leve")),"Bajo",IF(OR(AND(J31="Muy baja",N31="Moderado"),AND(J31="Baja",N31="Menor"),AND(J31="Baja",N31="Moderado"),AND(J31="Media",N31="Leve"),AND(J31="Media",N31="Menor"),AND(J31="Media",N31="Moderado"),AND(J31="Alta",N31="Leve"),AND(J31="Alta",N31="Menor")),"Moderado",IF(OR(AND(J31="Muy Baja",N31="Mayor"),AND(J31="Baja",N31="Mayor"),AND(J31="Media",N31="Mayor"),AND(J31="Alta",N31="Moderado"),AND(J31="Alta",N31="Mayor"),AND(J31="Muy Alta",N31="Leve"),AND(J31="Muy Alta",N31="Menor"),AND(J31="Muy Alta",N31="Moderado"),AND(J31="Muy Alta",N31="Mayor")),"Alto",IF(OR(AND(J31="Muy Baja",N31="Catastrófico"),AND(J31="Baja",N31="Catastrófico"),AND(J31="Media",N31="Catastrófico"),AND(J31="Alta",N31="Catastrófico"),AND(J31="Muy Alta",N31="Catastrófico")),"Extremo",""))))</f>
        <v>Alto</v>
      </c>
      <c r="Q31" s="137">
        <v>1</v>
      </c>
      <c r="R31" s="156" t="s">
        <v>261</v>
      </c>
      <c r="S31" s="138" t="s">
        <v>278</v>
      </c>
      <c r="T31" s="139" t="str">
        <f t="shared" si="44"/>
        <v>Probabilidad</v>
      </c>
      <c r="U31" s="140" t="s">
        <v>14</v>
      </c>
      <c r="V31" s="140" t="s">
        <v>9</v>
      </c>
      <c r="W31" s="141" t="str">
        <f t="shared" si="45"/>
        <v>40%</v>
      </c>
      <c r="X31" s="140" t="s">
        <v>20</v>
      </c>
      <c r="Y31" s="140" t="s">
        <v>22</v>
      </c>
      <c r="Z31" s="140" t="s">
        <v>120</v>
      </c>
      <c r="AA31" s="142">
        <f t="shared" si="40"/>
        <v>0.48</v>
      </c>
      <c r="AB31" s="269" t="str">
        <f>IFERROR(IF(AA31="","",IF(AA31&lt;=0.2,"Muy Baja",IF(AA31&lt;=0.4,"Baja",IF(AA31&lt;=0.6,"Media",IF(AA31&lt;=0.8,"Alta","Muy Alta"))))),"")</f>
        <v>Media</v>
      </c>
      <c r="AC31" s="144">
        <f t="shared" si="46"/>
        <v>0.48</v>
      </c>
      <c r="AD31" s="143" t="str">
        <f t="shared" si="42"/>
        <v>Moderado</v>
      </c>
      <c r="AE31" s="144">
        <f t="shared" si="13"/>
        <v>0.6</v>
      </c>
      <c r="AF31" s="271" t="str">
        <f t="shared" si="47"/>
        <v>Moderado</v>
      </c>
      <c r="AG31" s="146" t="s">
        <v>31</v>
      </c>
      <c r="AH31" s="147"/>
      <c r="AI31" s="148"/>
      <c r="AJ31" s="149"/>
      <c r="AK31" s="149"/>
      <c r="AL31" s="147"/>
      <c r="AM31" s="150"/>
    </row>
    <row r="32" spans="2:39" ht="82.5" x14ac:dyDescent="0.25">
      <c r="B32" s="184"/>
      <c r="C32" s="289"/>
      <c r="D32" s="291"/>
      <c r="E32" s="293"/>
      <c r="F32" s="293"/>
      <c r="G32" s="295"/>
      <c r="H32" s="291"/>
      <c r="I32" s="297"/>
      <c r="J32" s="281"/>
      <c r="K32" s="279"/>
      <c r="L32" s="277"/>
      <c r="M32" s="279">
        <f>IF(NOT(ISERROR(MATCH(L32,_xlfn.ANCHORARRAY(#REF!),0))),#REF!&amp;"Por favor no seleccionar los criterios de impacto",L32)</f>
        <v>0</v>
      </c>
      <c r="N32" s="281"/>
      <c r="O32" s="279"/>
      <c r="P32" s="283"/>
      <c r="Q32" s="137">
        <v>2</v>
      </c>
      <c r="R32" s="156" t="s">
        <v>261</v>
      </c>
      <c r="S32" s="138" t="s">
        <v>279</v>
      </c>
      <c r="T32" s="139" t="str">
        <f t="shared" si="44"/>
        <v>Probabilidad</v>
      </c>
      <c r="U32" s="140" t="s">
        <v>14</v>
      </c>
      <c r="V32" s="140" t="s">
        <v>9</v>
      </c>
      <c r="W32" s="141" t="str">
        <f t="shared" si="45"/>
        <v>40%</v>
      </c>
      <c r="X32" s="140" t="s">
        <v>20</v>
      </c>
      <c r="Y32" s="140" t="s">
        <v>22</v>
      </c>
      <c r="Z32" s="140" t="s">
        <v>120</v>
      </c>
      <c r="AA32" s="142">
        <f t="shared" si="40"/>
        <v>0</v>
      </c>
      <c r="AB32" s="270"/>
      <c r="AC32" s="144">
        <f t="shared" si="46"/>
        <v>0</v>
      </c>
      <c r="AD32" s="143" t="str">
        <f t="shared" si="42"/>
        <v>Leve</v>
      </c>
      <c r="AE32" s="144">
        <f t="shared" si="13"/>
        <v>0</v>
      </c>
      <c r="AF32" s="272"/>
      <c r="AG32" s="146" t="s">
        <v>135</v>
      </c>
      <c r="AH32" s="147"/>
      <c r="AI32" s="148"/>
      <c r="AJ32" s="149"/>
      <c r="AK32" s="149"/>
      <c r="AL32" s="147"/>
      <c r="AM32" s="150"/>
    </row>
    <row r="33" spans="2:39" ht="108" x14ac:dyDescent="0.25">
      <c r="B33" s="184"/>
      <c r="C33" s="176">
        <v>13</v>
      </c>
      <c r="D33" s="130" t="s">
        <v>131</v>
      </c>
      <c r="E33" s="131" t="s">
        <v>280</v>
      </c>
      <c r="F33" s="131" t="s">
        <v>281</v>
      </c>
      <c r="G33" s="152" t="s">
        <v>282</v>
      </c>
      <c r="H33" s="130" t="s">
        <v>123</v>
      </c>
      <c r="I33" s="153">
        <v>19</v>
      </c>
      <c r="J33" s="133" t="str">
        <f>IF(I33&lt;=0,"",IF(I33&lt;=2,"Muy Baja",IF(I33&lt;=24,"Baja",IF(I33&lt;=500,"Media",IF(I33&lt;=5000,"Alta","Muy Alta")))))</f>
        <v>Baja</v>
      </c>
      <c r="K33" s="134">
        <f>IF(J33="","",IF(J33="Muy Baja",0.2,IF(J33="Baja",0.4,IF(J33="Media",0.6,IF(J33="Alta",0.8,IF(J33="Muy Alta",1,))))))</f>
        <v>0.4</v>
      </c>
      <c r="L33" s="135" t="s">
        <v>146</v>
      </c>
      <c r="M33" s="134" t="str">
        <f>IF(NOT(ISERROR(MATCH(L33,'Tabla Impacto'!$B$221:$B$223,0))),'Tabla Impacto'!$F$223&amp;"Por favor no seleccionar los criterios de impacto(Afectación Económica o presupuestal y Pérdida Reputacional)",L33)</f>
        <v xml:space="preserve">     Entre 50 y 100 SMLMV </v>
      </c>
      <c r="N33" s="133" t="str">
        <f>IF(OR(M33='Tabla Impacto'!$C$11,M33='Tabla Impacto'!$D$11),"Leve",IF(OR(M33='Tabla Impacto'!$C$12,M33='Tabla Impacto'!$D$12),"Menor",IF(OR(M33='Tabla Impacto'!$C$13,M33='Tabla Impacto'!$D$13),"Moderado",IF(OR(M33='Tabla Impacto'!$C$14,M33='Tabla Impacto'!$D$14),"Mayor",IF(OR(M33='Tabla Impacto'!$C$15,M33='Tabla Impacto'!$D$15),"Catastrófico","")))))</f>
        <v>Moderado</v>
      </c>
      <c r="O33" s="134">
        <f>IF(N33="","",IF(N33="Leve",0.2,IF(N33="Menor",0.4,IF(N33="Moderado",0.6,IF(N33="Mayor",0.8,IF(N33="Catastrófico",1,))))))</f>
        <v>0.6</v>
      </c>
      <c r="P33" s="136" t="str">
        <f>IF(OR(AND(J33="Muy Baja",N33="Leve"),AND(J33="Muy Baja",N33="Menor"),AND(J33="Baja",N33="Leve")),"Bajo",IF(OR(AND(J33="Muy baja",N33="Moderado"),AND(J33="Baja",N33="Menor"),AND(J33="Baja",N33="Moderado"),AND(J33="Media",N33="Leve"),AND(J33="Media",N33="Menor"),AND(J33="Media",N33="Moderado"),AND(J33="Alta",N33="Leve"),AND(J33="Alta",N33="Menor")),"Moderado",IF(OR(AND(J33="Muy Baja",N33="Mayor"),AND(J33="Baja",N33="Mayor"),AND(J33="Media",N33="Mayor"),AND(J33="Alta",N33="Moderado"),AND(J33="Alta",N33="Mayor"),AND(J33="Muy Alta",N33="Leve"),AND(J33="Muy Alta",N33="Menor"),AND(J33="Muy Alta",N33="Moderado"),AND(J33="Muy Alta",N33="Mayor")),"Alto",IF(OR(AND(J33="Muy Baja",N33="Catastrófico"),AND(J33="Baja",N33="Catastrófico"),AND(J33="Media",N33="Catastrófico"),AND(J33="Alta",N33="Catastrófico"),AND(J33="Muy Alta",N33="Catastrófico")),"Extremo",""))))</f>
        <v>Moderado</v>
      </c>
      <c r="Q33" s="137">
        <v>1</v>
      </c>
      <c r="R33" s="156" t="s">
        <v>261</v>
      </c>
      <c r="S33" s="138" t="s">
        <v>283</v>
      </c>
      <c r="T33" s="139" t="str">
        <f t="shared" si="44"/>
        <v>Probabilidad</v>
      </c>
      <c r="U33" s="140" t="s">
        <v>14</v>
      </c>
      <c r="V33" s="140" t="s">
        <v>9</v>
      </c>
      <c r="W33" s="141" t="str">
        <f t="shared" si="45"/>
        <v>40%</v>
      </c>
      <c r="X33" s="140" t="s">
        <v>19</v>
      </c>
      <c r="Y33" s="140" t="s">
        <v>22</v>
      </c>
      <c r="Z33" s="140" t="s">
        <v>119</v>
      </c>
      <c r="AA33" s="142">
        <f t="shared" si="40"/>
        <v>0.24</v>
      </c>
      <c r="AB33" s="143" t="str">
        <f>IFERROR(IF(AA33="","",IF(AA33&lt;=0.2,"Muy Baja",IF(AA33&lt;=0.4,"Baja",IF(AA33&lt;=0.6,"Media",IF(AA33&lt;=0.8,"Alta","Muy Alta"))))),"")</f>
        <v>Baja</v>
      </c>
      <c r="AC33" s="144">
        <f t="shared" si="46"/>
        <v>0.24</v>
      </c>
      <c r="AD33" s="143" t="str">
        <f t="shared" si="42"/>
        <v>Moderado</v>
      </c>
      <c r="AE33" s="144">
        <f t="shared" si="13"/>
        <v>0.6</v>
      </c>
      <c r="AF33" s="145" t="str">
        <f t="shared" ref="AF33:AF34" si="48">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Moderado</v>
      </c>
      <c r="AG33" s="146" t="s">
        <v>31</v>
      </c>
      <c r="AH33" s="147"/>
      <c r="AI33" s="148"/>
      <c r="AJ33" s="149"/>
      <c r="AK33" s="149"/>
      <c r="AL33" s="147"/>
      <c r="AM33" s="150"/>
    </row>
    <row r="34" spans="2:39" ht="193.5" customHeight="1" x14ac:dyDescent="0.25">
      <c r="B34" s="184"/>
      <c r="C34" s="288">
        <v>14</v>
      </c>
      <c r="D34" s="290" t="s">
        <v>131</v>
      </c>
      <c r="E34" s="300" t="s">
        <v>284</v>
      </c>
      <c r="F34" s="292" t="s">
        <v>285</v>
      </c>
      <c r="G34" s="294" t="s">
        <v>286</v>
      </c>
      <c r="H34" s="290" t="s">
        <v>128</v>
      </c>
      <c r="I34" s="356">
        <v>200</v>
      </c>
      <c r="J34" s="280" t="str">
        <f>IF(I34&lt;=0,"",IF(I34&lt;=2,"Muy Baja",IF(I34&lt;=24,"Baja",IF(I34&lt;=500,"Media",IF(I34&lt;=5000,"Alta","Muy Alta")))))</f>
        <v>Media</v>
      </c>
      <c r="K34" s="278">
        <f>IF(J34="","",IF(J34="Muy Baja",0.2,IF(J34="Baja",0.4,IF(J34="Media",0.6,IF(J34="Alta",0.8,IF(J34="Muy Alta",1,))))))</f>
        <v>0.6</v>
      </c>
      <c r="L34" s="276" t="s">
        <v>153</v>
      </c>
      <c r="M34" s="278" t="str">
        <f>IF(NOT(ISERROR(MATCH(L34,'Tabla Impacto'!$B$221:$B$223,0))),'Tabla Impacto'!$F$223&amp;"Por favor no seleccionar los criterios de impacto(Afectación Económica o presupuestal y Pérdida Reputacional)",L34)</f>
        <v xml:space="preserve">     El riesgo afecta la imagen de de la entidad con efecto publicitario sostenido a nivel de sector administrativo, nivel departamental o municipal</v>
      </c>
      <c r="N34" s="280" t="str">
        <f>IF(OR(M34='Tabla Impacto'!$C$11,M34='Tabla Impacto'!$D$11),"Leve",IF(OR(M34='Tabla Impacto'!$C$12,M34='Tabla Impacto'!$D$12),"Menor",IF(OR(M34='Tabla Impacto'!$C$13,M34='Tabla Impacto'!$D$13),"Moderado",IF(OR(M34='Tabla Impacto'!$C$14,M34='Tabla Impacto'!$D$14),"Mayor",IF(OR(M34='Tabla Impacto'!$C$15,M34='Tabla Impacto'!$D$15),"Catastrófico","")))))</f>
        <v>Mayor</v>
      </c>
      <c r="O34" s="278">
        <f>IF(N34="","",IF(N34="Leve",0.2,IF(N34="Menor",0.4,IF(N34="Moderado",0.6,IF(N34="Mayor",0.8,IF(N34="Catastrófico",1,))))))</f>
        <v>0.8</v>
      </c>
      <c r="P34" s="282" t="str">
        <f>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Alto</v>
      </c>
      <c r="Q34" s="137">
        <v>1</v>
      </c>
      <c r="R34" s="156" t="s">
        <v>489</v>
      </c>
      <c r="S34" s="159" t="s">
        <v>287</v>
      </c>
      <c r="T34" s="139" t="str">
        <f t="shared" si="44"/>
        <v>Probabilidad</v>
      </c>
      <c r="U34" s="140" t="s">
        <v>14</v>
      </c>
      <c r="V34" s="140" t="s">
        <v>10</v>
      </c>
      <c r="W34" s="141" t="str">
        <f t="shared" si="45"/>
        <v>50%</v>
      </c>
      <c r="X34" s="140" t="s">
        <v>19</v>
      </c>
      <c r="Y34" s="140" t="s">
        <v>22</v>
      </c>
      <c r="Z34" s="140" t="s">
        <v>119</v>
      </c>
      <c r="AA34" s="142">
        <f t="shared" si="40"/>
        <v>0.3</v>
      </c>
      <c r="AB34" s="269" t="str">
        <f>IFERROR(IF(AA34="","",IF(AA34&lt;=0.2,"Muy Baja",IF(AA34&lt;=0.4,"Baja",IF(AA34&lt;=0.6,"Media",IF(AA34&lt;=0.8,"Alta","Muy Alta"))))),"")</f>
        <v>Baja</v>
      </c>
      <c r="AC34" s="144">
        <f t="shared" si="46"/>
        <v>0.3</v>
      </c>
      <c r="AD34" s="143" t="str">
        <f t="shared" si="42"/>
        <v>Mayor</v>
      </c>
      <c r="AE34" s="144">
        <f t="shared" si="13"/>
        <v>0.8</v>
      </c>
      <c r="AF34" s="145" t="str">
        <f t="shared" si="48"/>
        <v>Alto</v>
      </c>
      <c r="AG34" s="146" t="s">
        <v>32</v>
      </c>
      <c r="AH34" s="147"/>
      <c r="AI34" s="148"/>
      <c r="AJ34" s="149"/>
      <c r="AK34" s="149"/>
      <c r="AL34" s="147"/>
      <c r="AM34" s="150"/>
    </row>
    <row r="35" spans="2:39" ht="142.5" x14ac:dyDescent="0.25">
      <c r="B35" s="184"/>
      <c r="C35" s="289"/>
      <c r="D35" s="291"/>
      <c r="E35" s="301"/>
      <c r="F35" s="293"/>
      <c r="G35" s="295"/>
      <c r="H35" s="291"/>
      <c r="I35" s="357"/>
      <c r="J35" s="281"/>
      <c r="K35" s="279"/>
      <c r="L35" s="277"/>
      <c r="M35" s="279">
        <f>IF(NOT(ISERROR(MATCH(L35,_xlfn.ANCHORARRAY(#REF!),0))),#REF!&amp;"Por favor no seleccionar los criterios de impacto",L35)</f>
        <v>0</v>
      </c>
      <c r="N35" s="281"/>
      <c r="O35" s="279"/>
      <c r="P35" s="283"/>
      <c r="Q35" s="137">
        <v>2</v>
      </c>
      <c r="R35" s="156" t="s">
        <v>261</v>
      </c>
      <c r="S35" s="159" t="s">
        <v>288</v>
      </c>
      <c r="T35" s="139" t="str">
        <f t="shared" si="44"/>
        <v>Probabilidad</v>
      </c>
      <c r="U35" s="140" t="s">
        <v>14</v>
      </c>
      <c r="V35" s="140" t="s">
        <v>9</v>
      </c>
      <c r="W35" s="141" t="str">
        <f t="shared" si="45"/>
        <v>40%</v>
      </c>
      <c r="X35" s="140" t="s">
        <v>19</v>
      </c>
      <c r="Y35" s="140" t="s">
        <v>22</v>
      </c>
      <c r="Z35" s="140" t="s">
        <v>119</v>
      </c>
      <c r="AA35" s="142">
        <f t="shared" si="40"/>
        <v>0</v>
      </c>
      <c r="AB35" s="273"/>
      <c r="AC35" s="144">
        <f t="shared" si="46"/>
        <v>0</v>
      </c>
      <c r="AD35" s="143" t="str">
        <f t="shared" ref="AD35:AD39" si="49">IFERROR(IF(AE35="","",IF(AE35&lt;=0.2,"Leve",IF(AE35&lt;=0.4,"Menor",IF(AE35&lt;=0.6,"Moderado",IF(AE35&lt;=0.8,"Mayor","Catastrófico"))))),"")</f>
        <v>Leve</v>
      </c>
      <c r="AE35" s="144">
        <f t="shared" si="13"/>
        <v>0</v>
      </c>
      <c r="AF35" s="145" t="str">
        <f>'[1]Mapa final'!$AD$14</f>
        <v>Bajo</v>
      </c>
      <c r="AG35" s="146" t="s">
        <v>135</v>
      </c>
      <c r="AH35" s="147"/>
      <c r="AI35" s="148"/>
      <c r="AJ35" s="149"/>
      <c r="AK35" s="149"/>
      <c r="AL35" s="147"/>
      <c r="AM35" s="150"/>
    </row>
    <row r="36" spans="2:39" ht="143.25" thickBot="1" x14ac:dyDescent="0.3">
      <c r="B36" s="186"/>
      <c r="C36" s="289"/>
      <c r="D36" s="291"/>
      <c r="E36" s="302"/>
      <c r="F36" s="293"/>
      <c r="G36" s="303"/>
      <c r="H36" s="291"/>
      <c r="I36" s="358"/>
      <c r="J36" s="281"/>
      <c r="K36" s="279"/>
      <c r="L36" s="277"/>
      <c r="M36" s="279">
        <f>IF(NOT(ISERROR(MATCH(L36,_xlfn.ANCHORARRAY(#REF!),0))),#REF!&amp;"Por favor no seleccionar los criterios de impacto",L36)</f>
        <v>0</v>
      </c>
      <c r="N36" s="281"/>
      <c r="O36" s="279"/>
      <c r="P36" s="283"/>
      <c r="Q36" s="137">
        <v>3</v>
      </c>
      <c r="R36" s="156" t="s">
        <v>261</v>
      </c>
      <c r="S36" s="159" t="s">
        <v>289</v>
      </c>
      <c r="T36" s="139" t="str">
        <f t="shared" si="44"/>
        <v>Probabilidad</v>
      </c>
      <c r="U36" s="140" t="s">
        <v>15</v>
      </c>
      <c r="V36" s="140" t="s">
        <v>10</v>
      </c>
      <c r="W36" s="141" t="str">
        <f t="shared" si="45"/>
        <v>40%</v>
      </c>
      <c r="X36" s="140" t="s">
        <v>19</v>
      </c>
      <c r="Y36" s="140" t="s">
        <v>22</v>
      </c>
      <c r="Z36" s="140" t="s">
        <v>119</v>
      </c>
      <c r="AA36" s="142"/>
      <c r="AB36" s="270"/>
      <c r="AC36" s="144">
        <f t="shared" si="46"/>
        <v>0</v>
      </c>
      <c r="AD36" s="143" t="str">
        <f t="shared" si="49"/>
        <v>Leve</v>
      </c>
      <c r="AE36" s="144">
        <f t="shared" si="13"/>
        <v>0</v>
      </c>
      <c r="AF36" s="145" t="str">
        <f>'[1]Mapa final'!$AD$14</f>
        <v>Bajo</v>
      </c>
      <c r="AG36" s="154" t="s">
        <v>31</v>
      </c>
      <c r="AH36" s="147"/>
      <c r="AI36" s="148"/>
      <c r="AJ36" s="149"/>
      <c r="AK36" s="149"/>
      <c r="AL36" s="147"/>
      <c r="AM36" s="150"/>
    </row>
    <row r="37" spans="2:39" ht="154.5" customHeight="1" x14ac:dyDescent="0.25">
      <c r="B37" s="189" t="s">
        <v>500</v>
      </c>
      <c r="C37" s="288">
        <v>15</v>
      </c>
      <c r="D37" s="290" t="s">
        <v>133</v>
      </c>
      <c r="E37" s="292" t="s">
        <v>290</v>
      </c>
      <c r="F37" s="292" t="s">
        <v>291</v>
      </c>
      <c r="G37" s="306" t="s">
        <v>292</v>
      </c>
      <c r="H37" s="290" t="s">
        <v>123</v>
      </c>
      <c r="I37" s="296">
        <v>4500</v>
      </c>
      <c r="J37" s="280" t="str">
        <f>IF(I37&lt;=0,"",IF(I37&lt;=2,"Muy Baja",IF(I37&lt;=24,"Baja",IF(I37&lt;=500,"Media",IF(I37&lt;=5000,"Alta","Muy Alta")))))</f>
        <v>Alta</v>
      </c>
      <c r="K37" s="278">
        <f>IF(J37="","",IF(J37="Muy Baja",0.2,IF(J37="Baja",0.4,IF(J37="Media",0.6,IF(J37="Alta",0.8,IF(J37="Muy Alta",1,))))))</f>
        <v>0.8</v>
      </c>
      <c r="L37" s="276" t="s">
        <v>146</v>
      </c>
      <c r="M37" s="278" t="str">
        <f>IF(NOT(ISERROR(MATCH(L37,'Tabla Impacto'!$B$221:$B$223,0))),'Tabla Impacto'!$F$223&amp;"Por favor no seleccionar los criterios de impacto(Afectación Económica o presupuestal y Pérdida Reputacional)",L37)</f>
        <v xml:space="preserve">     Entre 50 y 100 SMLMV </v>
      </c>
      <c r="N37" s="280" t="str">
        <f>IF(OR(M37='Tabla Impacto'!$C$11,M37='Tabla Impacto'!$D$11),"Leve",IF(OR(M37='Tabla Impacto'!$C$12,M37='Tabla Impacto'!$D$12),"Menor",IF(OR(M37='Tabla Impacto'!$C$13,M37='Tabla Impacto'!$D$13),"Moderado",IF(OR(M37='Tabla Impacto'!$C$14,M37='Tabla Impacto'!$D$14),"Mayor",IF(OR(M37='Tabla Impacto'!$C$15,M37='Tabla Impacto'!$D$15),"Catastrófico","")))))</f>
        <v>Moderado</v>
      </c>
      <c r="O37" s="278">
        <f>IF(N37="","",IF(N37="Leve",0.2,IF(N37="Menor",0.4,IF(N37="Moderado",0.6,IF(N37="Mayor",0.8,IF(N37="Catastrófico",1,))))))</f>
        <v>0.6</v>
      </c>
      <c r="P37" s="282" t="str">
        <f>IF(OR(AND(J37="Muy Baja",N37="Leve"),AND(J37="Muy Baja",N37="Menor"),AND(J37="Baja",N37="Leve")),"Bajo",IF(OR(AND(J37="Muy baja",N37="Moderado"),AND(J37="Baja",N37="Menor"),AND(J37="Baja",N37="Moderado"),AND(J37="Media",N37="Leve"),AND(J37="Media",N37="Menor"),AND(J37="Media",N37="Moderado"),AND(J37="Alta",N37="Leve"),AND(J37="Alta",N37="Menor")),"Moderado",IF(OR(AND(J37="Muy Baja",N37="Mayor"),AND(J37="Baja",N37="Mayor"),AND(J37="Media",N37="Mayor"),AND(J37="Alta",N37="Moderado"),AND(J37="Alta",N37="Mayor"),AND(J37="Muy Alta",N37="Leve"),AND(J37="Muy Alta",N37="Menor"),AND(J37="Muy Alta",N37="Moderado"),AND(J37="Muy Alta",N37="Mayor")),"Alto",IF(OR(AND(J37="Muy Baja",N37="Catastrófico"),AND(J37="Baja",N37="Catastrófico"),AND(J37="Media",N37="Catastrófico"),AND(J37="Alta",N37="Catastrófico"),AND(J37="Muy Alta",N37="Catastrófico")),"Extremo",""))))</f>
        <v>Alto</v>
      </c>
      <c r="Q37" s="137">
        <v>1</v>
      </c>
      <c r="R37" s="156" t="s">
        <v>293</v>
      </c>
      <c r="S37" s="159" t="s">
        <v>295</v>
      </c>
      <c r="T37" s="139" t="str">
        <f t="shared" si="44"/>
        <v>Probabilidad</v>
      </c>
      <c r="U37" s="140" t="s">
        <v>14</v>
      </c>
      <c r="V37" s="140" t="s">
        <v>10</v>
      </c>
      <c r="W37" s="141" t="str">
        <f t="shared" si="45"/>
        <v>50%</v>
      </c>
      <c r="X37" s="140" t="s">
        <v>19</v>
      </c>
      <c r="Y37" s="140" t="s">
        <v>22</v>
      </c>
      <c r="Z37" s="140" t="s">
        <v>119</v>
      </c>
      <c r="AA37" s="142">
        <f>IFERROR(IF(T37="Probabilidad",(K37-(+K37*W37)),IF(T37="Impacto",K37,"")),"")</f>
        <v>0.4</v>
      </c>
      <c r="AB37" s="143" t="str">
        <f>IFERROR(IF(AA37="","",IF(AA37&lt;=0.2,"Muy Baja",IF(AA37&lt;=0.4,"Baja",IF(AA37&lt;=0.6,"Media",IF(AA37&lt;=0.8,"Alta","Muy Alta"))))),"")</f>
        <v>Baja</v>
      </c>
      <c r="AC37" s="144">
        <f t="shared" si="46"/>
        <v>0.4</v>
      </c>
      <c r="AD37" s="143" t="str">
        <f t="shared" si="49"/>
        <v>Moderado</v>
      </c>
      <c r="AE37" s="144">
        <f t="shared" ref="AE37:AE39" si="50">IFERROR(IF(T37="Impacto",(O37-(+O37*W37)),IF(T37="Probabilidad",O37,"")),"")</f>
        <v>0.6</v>
      </c>
      <c r="AF37" s="145" t="str">
        <f t="shared" ref="AF37" si="51">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Moderado</v>
      </c>
      <c r="AG37" s="146" t="s">
        <v>136</v>
      </c>
      <c r="AH37" s="147"/>
      <c r="AI37" s="148"/>
      <c r="AJ37" s="149"/>
      <c r="AK37" s="149"/>
      <c r="AL37" s="147"/>
      <c r="AM37" s="150"/>
    </row>
    <row r="38" spans="2:39" ht="118.5" customHeight="1" x14ac:dyDescent="0.25">
      <c r="B38" s="187"/>
      <c r="C38" s="289"/>
      <c r="D38" s="291"/>
      <c r="E38" s="293"/>
      <c r="F38" s="293"/>
      <c r="G38" s="307"/>
      <c r="H38" s="291"/>
      <c r="I38" s="297"/>
      <c r="J38" s="281"/>
      <c r="K38" s="279"/>
      <c r="L38" s="277"/>
      <c r="M38" s="279">
        <f>IF(NOT(ISERROR(MATCH(L38,_xlfn.ANCHORARRAY(#REF!),0))),#REF!&amp;"Por favor no seleccionar los criterios de impacto",L38)</f>
        <v>0</v>
      </c>
      <c r="N38" s="281"/>
      <c r="O38" s="279"/>
      <c r="P38" s="283"/>
      <c r="Q38" s="137">
        <v>2</v>
      </c>
      <c r="R38" s="156" t="s">
        <v>294</v>
      </c>
      <c r="S38" s="159" t="s">
        <v>538</v>
      </c>
      <c r="T38" s="139" t="str">
        <f t="shared" si="44"/>
        <v>Probabilidad</v>
      </c>
      <c r="U38" s="140" t="s">
        <v>14</v>
      </c>
      <c r="V38" s="140" t="s">
        <v>9</v>
      </c>
      <c r="W38" s="141" t="str">
        <f t="shared" si="45"/>
        <v>40%</v>
      </c>
      <c r="X38" s="140" t="s">
        <v>19</v>
      </c>
      <c r="Y38" s="140" t="s">
        <v>22</v>
      </c>
      <c r="Z38" s="140" t="s">
        <v>119</v>
      </c>
      <c r="AA38" s="142"/>
      <c r="AB38" s="170" t="s">
        <v>53</v>
      </c>
      <c r="AC38" s="144">
        <f t="shared" si="46"/>
        <v>0</v>
      </c>
      <c r="AD38" s="143" t="str">
        <f t="shared" si="49"/>
        <v>Leve</v>
      </c>
      <c r="AE38" s="144">
        <f t="shared" si="50"/>
        <v>0</v>
      </c>
      <c r="AF38" s="171" t="s">
        <v>81</v>
      </c>
      <c r="AG38" s="146" t="s">
        <v>136</v>
      </c>
      <c r="AH38" s="147"/>
      <c r="AI38" s="148"/>
      <c r="AJ38" s="149"/>
      <c r="AK38" s="149"/>
      <c r="AL38" s="147"/>
      <c r="AM38" s="150"/>
    </row>
    <row r="39" spans="2:39" ht="113.25" customHeight="1" x14ac:dyDescent="0.25">
      <c r="B39" s="187"/>
      <c r="C39" s="289"/>
      <c r="D39" s="291"/>
      <c r="E39" s="293"/>
      <c r="F39" s="293"/>
      <c r="G39" s="307"/>
      <c r="H39" s="291"/>
      <c r="I39" s="297"/>
      <c r="J39" s="281"/>
      <c r="K39" s="279"/>
      <c r="L39" s="277"/>
      <c r="M39" s="279">
        <f>IF(NOT(ISERROR(MATCH(L39,_xlfn.ANCHORARRAY(#REF!),0))),#REF!&amp;"Por favor no seleccionar los criterios de impacto",L39)</f>
        <v>0</v>
      </c>
      <c r="N39" s="281"/>
      <c r="O39" s="279"/>
      <c r="P39" s="283"/>
      <c r="Q39" s="137">
        <v>3</v>
      </c>
      <c r="R39" s="156" t="s">
        <v>294</v>
      </c>
      <c r="S39" s="159" t="s">
        <v>296</v>
      </c>
      <c r="T39" s="139" t="str">
        <f t="shared" si="44"/>
        <v>Impacto</v>
      </c>
      <c r="U39" s="140" t="s">
        <v>16</v>
      </c>
      <c r="V39" s="140" t="s">
        <v>9</v>
      </c>
      <c r="W39" s="141" t="str">
        <f t="shared" si="45"/>
        <v>25%</v>
      </c>
      <c r="X39" s="140" t="s">
        <v>19</v>
      </c>
      <c r="Y39" s="140" t="s">
        <v>23</v>
      </c>
      <c r="Z39" s="140" t="s">
        <v>119</v>
      </c>
      <c r="AA39" s="142"/>
      <c r="AB39" s="170" t="s">
        <v>53</v>
      </c>
      <c r="AC39" s="144">
        <f t="shared" si="46"/>
        <v>0</v>
      </c>
      <c r="AD39" s="143" t="str">
        <f t="shared" si="49"/>
        <v>Leve</v>
      </c>
      <c r="AE39" s="144">
        <f t="shared" si="50"/>
        <v>0</v>
      </c>
      <c r="AF39" s="171" t="s">
        <v>81</v>
      </c>
      <c r="AG39" s="154" t="s">
        <v>136</v>
      </c>
      <c r="AH39" s="147"/>
      <c r="AI39" s="148"/>
      <c r="AJ39" s="149"/>
      <c r="AK39" s="149"/>
      <c r="AL39" s="147"/>
      <c r="AM39" s="150"/>
    </row>
    <row r="40" spans="2:39" ht="114" x14ac:dyDescent="0.25">
      <c r="B40" s="187"/>
      <c r="C40" s="288">
        <v>16</v>
      </c>
      <c r="D40" s="290" t="s">
        <v>133</v>
      </c>
      <c r="E40" s="292" t="s">
        <v>297</v>
      </c>
      <c r="F40" s="292" t="s">
        <v>298</v>
      </c>
      <c r="G40" s="306" t="s">
        <v>299</v>
      </c>
      <c r="H40" s="290" t="s">
        <v>128</v>
      </c>
      <c r="I40" s="296">
        <v>50</v>
      </c>
      <c r="J40" s="280" t="str">
        <f>IF(I40&lt;=0,"",IF(I40&lt;=2,"Muy Baja",IF(I40&lt;=24,"Baja",IF(I40&lt;=500,"Media",IF(I40&lt;=5000,"Alta","Muy Alta")))))</f>
        <v>Media</v>
      </c>
      <c r="K40" s="278">
        <f>IF(J40="","",IF(J40="Muy Baja",0.2,IF(J40="Baja",0.4,IF(J40="Media",0.6,IF(J40="Alta",0.8,IF(J40="Muy Alta",1,))))))</f>
        <v>0.6</v>
      </c>
      <c r="L40" s="276" t="s">
        <v>152</v>
      </c>
      <c r="M40" s="278" t="str">
        <f>IF(NOT(ISERROR(MATCH(L40,'Tabla Impacto'!$B$221:$B$223,0))),'Tabla Impacto'!$F$223&amp;"Por favor no seleccionar los criterios de impacto(Afectación Económica o presupuestal y Pérdida Reputacional)",L40)</f>
        <v xml:space="preserve">     El riesgo afecta la imagen de la entidad con algunos usuarios de relevancia frente al logro de los objetivos</v>
      </c>
      <c r="N40" s="280" t="str">
        <f>IF(OR(M40='Tabla Impacto'!$C$11,M40='Tabla Impacto'!$D$11),"Leve",IF(OR(M40='Tabla Impacto'!$C$12,M40='Tabla Impacto'!$D$12),"Menor",IF(OR(M40='Tabla Impacto'!$C$13,M40='Tabla Impacto'!$D$13),"Moderado",IF(OR(M40='Tabla Impacto'!$C$14,M40='Tabla Impacto'!$D$14),"Mayor",IF(OR(M40='Tabla Impacto'!$C$15,M40='Tabla Impacto'!$D$15),"Catastrófico","")))))</f>
        <v>Moderado</v>
      </c>
      <c r="O40" s="278">
        <f>IF(N40="","",IF(N40="Leve",0.2,IF(N40="Menor",0.4,IF(N40="Moderado",0.6,IF(N40="Mayor",0.8,IF(N40="Catastrófico",1,))))))</f>
        <v>0.6</v>
      </c>
      <c r="P40" s="282" t="str">
        <f>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Moderado</v>
      </c>
      <c r="Q40" s="137">
        <v>1</v>
      </c>
      <c r="R40" s="156" t="s">
        <v>300</v>
      </c>
      <c r="S40" s="159" t="s">
        <v>301</v>
      </c>
      <c r="T40" s="139" t="str">
        <f t="shared" ref="T40:T79" si="52">IF(OR(U40="Preventivo",U40="Detectivo"),"Probabilidad",IF(U40="Correctivo","Impacto",""))</f>
        <v>Probabilidad</v>
      </c>
      <c r="U40" s="140" t="s">
        <v>14</v>
      </c>
      <c r="V40" s="140" t="s">
        <v>9</v>
      </c>
      <c r="W40" s="141" t="str">
        <f t="shared" ref="W40:W79" si="53">IF(AND(U40="Preventivo",V40="Automático"),"50%",IF(AND(U40="Preventivo",V40="Manual"),"40%",IF(AND(U40="Detectivo",V40="Automático"),"40%",IF(AND(U40="Detectivo",V40="Manual"),"30%",IF(AND(U40="Correctivo",V40="Automático"),"35%",IF(AND(U40="Correctivo",V40="Manual"),"25%",""))))))</f>
        <v>40%</v>
      </c>
      <c r="X40" s="140" t="s">
        <v>20</v>
      </c>
      <c r="Y40" s="140" t="s">
        <v>23</v>
      </c>
      <c r="Z40" s="140" t="s">
        <v>119</v>
      </c>
      <c r="AA40" s="142">
        <f t="shared" ref="AA40:AA47" si="54">IFERROR(IF(T40="Probabilidad",(K40-(+K40*W40)),IF(T40="Impacto",K40,"")),"")</f>
        <v>0.36</v>
      </c>
      <c r="AB40" s="143" t="str">
        <f>IFERROR(IF(AA40="","",IF(AA40&lt;=0.2,"Muy Baja",IF(AA40&lt;=0.4,"Baja",IF(AA40&lt;=0.6,"Media",IF(AA40&lt;=0.8,"Alta","Muy Alta"))))),"")</f>
        <v>Baja</v>
      </c>
      <c r="AC40" s="144">
        <f t="shared" ref="AC40:AC79" si="55">+AA40</f>
        <v>0.36</v>
      </c>
      <c r="AD40" s="143" t="str">
        <f t="shared" ref="AD40:AD47" si="56">IFERROR(IF(AE40="","",IF(AE40&lt;=0.2,"Leve",IF(AE40&lt;=0.4,"Menor",IF(AE40&lt;=0.6,"Moderado",IF(AE40&lt;=0.8,"Mayor","Catastrófico"))))),"")</f>
        <v>Moderado</v>
      </c>
      <c r="AE40" s="144">
        <f t="shared" ref="AE40:AE79" si="57">IFERROR(IF(T40="Impacto",(O40-(+O40*W40)),IF(T40="Probabilidad",O40,"")),"")</f>
        <v>0.6</v>
      </c>
      <c r="AF40" s="145" t="str">
        <f t="shared" ref="AF40:AF42" si="58">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Moderado</v>
      </c>
      <c r="AG40" s="146" t="s">
        <v>135</v>
      </c>
      <c r="AH40" s="147"/>
      <c r="AI40" s="148"/>
      <c r="AJ40" s="149"/>
      <c r="AK40" s="149"/>
      <c r="AL40" s="147"/>
      <c r="AM40" s="150"/>
    </row>
    <row r="41" spans="2:39" ht="256.5" x14ac:dyDescent="0.25">
      <c r="B41" s="187"/>
      <c r="C41" s="289"/>
      <c r="D41" s="291"/>
      <c r="E41" s="293"/>
      <c r="F41" s="293"/>
      <c r="G41" s="307"/>
      <c r="H41" s="291"/>
      <c r="I41" s="297"/>
      <c r="J41" s="281"/>
      <c r="K41" s="279"/>
      <c r="L41" s="277"/>
      <c r="M41" s="279">
        <f>IF(NOT(ISERROR(MATCH(L41,_xlfn.ANCHORARRAY(#REF!),0))),#REF!&amp;"Por favor no seleccionar los criterios de impacto",L41)</f>
        <v>0</v>
      </c>
      <c r="N41" s="281"/>
      <c r="O41" s="279"/>
      <c r="P41" s="283"/>
      <c r="Q41" s="137">
        <v>2</v>
      </c>
      <c r="R41" s="156" t="s">
        <v>294</v>
      </c>
      <c r="S41" s="159" t="s">
        <v>539</v>
      </c>
      <c r="T41" s="139" t="str">
        <f t="shared" si="52"/>
        <v>Probabilidad</v>
      </c>
      <c r="U41" s="140" t="s">
        <v>15</v>
      </c>
      <c r="V41" s="140" t="s">
        <v>9</v>
      </c>
      <c r="W41" s="141" t="str">
        <f t="shared" si="53"/>
        <v>30%</v>
      </c>
      <c r="X41" s="140" t="s">
        <v>20</v>
      </c>
      <c r="Y41" s="140" t="s">
        <v>23</v>
      </c>
      <c r="Z41" s="140" t="s">
        <v>120</v>
      </c>
      <c r="AA41" s="142">
        <f t="shared" si="54"/>
        <v>0</v>
      </c>
      <c r="AB41" s="143" t="str">
        <f>IFERROR(IF(AA41="","",IF(AA41&lt;=0.2,"Muy Baja",IF(AA41&lt;=0.4,"Baja",IF(AA41&lt;=0.6,"Media",IF(AA41&lt;=0.8,"Alta","Muy Alta"))))),"")</f>
        <v>Muy Baja</v>
      </c>
      <c r="AC41" s="144">
        <f t="shared" si="55"/>
        <v>0</v>
      </c>
      <c r="AD41" s="143" t="str">
        <f t="shared" si="56"/>
        <v>Leve</v>
      </c>
      <c r="AE41" s="144">
        <f t="shared" si="57"/>
        <v>0</v>
      </c>
      <c r="AF41" s="145" t="str">
        <f t="shared" si="58"/>
        <v>Bajo</v>
      </c>
      <c r="AG41" s="146" t="s">
        <v>135</v>
      </c>
      <c r="AH41" s="147"/>
      <c r="AI41" s="148"/>
      <c r="AJ41" s="149"/>
      <c r="AK41" s="149"/>
      <c r="AL41" s="147"/>
      <c r="AM41" s="150"/>
    </row>
    <row r="42" spans="2:39" ht="128.25" x14ac:dyDescent="0.25">
      <c r="B42" s="187"/>
      <c r="C42" s="289"/>
      <c r="D42" s="291"/>
      <c r="E42" s="293"/>
      <c r="F42" s="293"/>
      <c r="G42" s="307"/>
      <c r="H42" s="291"/>
      <c r="I42" s="297"/>
      <c r="J42" s="281"/>
      <c r="K42" s="279"/>
      <c r="L42" s="277"/>
      <c r="M42" s="279">
        <f>IF(NOT(ISERROR(MATCH(L42,_xlfn.ANCHORARRAY(#REF!),0))),#REF!&amp;"Por favor no seleccionar los criterios de impacto",L42)</f>
        <v>0</v>
      </c>
      <c r="N42" s="281"/>
      <c r="O42" s="279"/>
      <c r="P42" s="283"/>
      <c r="Q42" s="137">
        <v>3</v>
      </c>
      <c r="R42" s="156" t="s">
        <v>300</v>
      </c>
      <c r="S42" s="159" t="s">
        <v>302</v>
      </c>
      <c r="T42" s="139" t="str">
        <f t="shared" si="52"/>
        <v>Impacto</v>
      </c>
      <c r="U42" s="140" t="s">
        <v>16</v>
      </c>
      <c r="V42" s="140" t="s">
        <v>9</v>
      </c>
      <c r="W42" s="141" t="str">
        <f t="shared" si="53"/>
        <v>25%</v>
      </c>
      <c r="X42" s="140" t="s">
        <v>19</v>
      </c>
      <c r="Y42" s="140" t="s">
        <v>22</v>
      </c>
      <c r="Z42" s="140" t="s">
        <v>119</v>
      </c>
      <c r="AA42" s="142">
        <f t="shared" si="54"/>
        <v>0</v>
      </c>
      <c r="AB42" s="143" t="str">
        <f>IFERROR(IF(AA42="","",IF(AA42&lt;=0.2,"Muy Baja",IF(AA42&lt;=0.4,"Baja",IF(AA42&lt;=0.6,"Media",IF(AA42&lt;=0.8,"Alta","Muy Alta"))))),"")</f>
        <v>Muy Baja</v>
      </c>
      <c r="AC42" s="144">
        <f t="shared" si="55"/>
        <v>0</v>
      </c>
      <c r="AD42" s="143" t="str">
        <f t="shared" si="56"/>
        <v>Leve</v>
      </c>
      <c r="AE42" s="144">
        <f t="shared" si="57"/>
        <v>0</v>
      </c>
      <c r="AF42" s="145" t="str">
        <f t="shared" si="58"/>
        <v>Bajo</v>
      </c>
      <c r="AG42" s="154" t="s">
        <v>31</v>
      </c>
      <c r="AH42" s="147"/>
      <c r="AI42" s="148"/>
      <c r="AJ42" s="149"/>
      <c r="AK42" s="149"/>
      <c r="AL42" s="147"/>
      <c r="AM42" s="150"/>
    </row>
    <row r="43" spans="2:39" ht="140.25" x14ac:dyDescent="0.25">
      <c r="B43" s="187"/>
      <c r="C43" s="288">
        <v>17</v>
      </c>
      <c r="D43" s="290" t="s">
        <v>133</v>
      </c>
      <c r="E43" s="396" t="s">
        <v>546</v>
      </c>
      <c r="F43" s="396" t="s">
        <v>303</v>
      </c>
      <c r="G43" s="398" t="s">
        <v>304</v>
      </c>
      <c r="H43" s="290" t="s">
        <v>123</v>
      </c>
      <c r="I43" s="296">
        <v>15</v>
      </c>
      <c r="J43" s="280" t="str">
        <f>IF(I43&lt;=0,"",IF(I43&lt;=2,"Muy Baja",IF(I43&lt;=24,"Baja",IF(I43&lt;=500,"Media",IF(I43&lt;=5000,"Alta","Muy Alta")))))</f>
        <v>Baja</v>
      </c>
      <c r="K43" s="278">
        <f>IF(J43="","",IF(J43="Muy Baja",0.2,IF(J43="Baja",0.4,IF(J43="Media",0.6,IF(J43="Alta",0.8,IF(J43="Muy Alta",1,))))))</f>
        <v>0.4</v>
      </c>
      <c r="L43" s="276" t="s">
        <v>153</v>
      </c>
      <c r="M43" s="278" t="str">
        <f>IF(NOT(ISERROR(MATCH(L43,'Tabla Impacto'!$B$221:$B$223,0))),'Tabla Impacto'!$F$223&amp;"Por favor no seleccionar los criterios de impacto(Afectación Económica o presupuestal y Pérdida Reputacional)",L43)</f>
        <v xml:space="preserve">     El riesgo afecta la imagen de de la entidad con efecto publicitario sostenido a nivel de sector administrativo, nivel departamental o municipal</v>
      </c>
      <c r="N43" s="280" t="str">
        <f>IF(OR(M43='Tabla Impacto'!$C$11,M43='Tabla Impacto'!$D$11),"Leve",IF(OR(M43='Tabla Impacto'!$C$12,M43='Tabla Impacto'!$D$12),"Menor",IF(OR(M43='Tabla Impacto'!$C$13,M43='Tabla Impacto'!$D$13),"Moderado",IF(OR(M43='Tabla Impacto'!$C$14,M43='Tabla Impacto'!$D$14),"Mayor",IF(OR(M43='Tabla Impacto'!$C$15,M43='Tabla Impacto'!$D$15),"Catastrófico","")))))</f>
        <v>Mayor</v>
      </c>
      <c r="O43" s="278">
        <f>IF(N43="","",IF(N43="Leve",0.2,IF(N43="Menor",0.4,IF(N43="Moderado",0.6,IF(N43="Mayor",0.8,IF(N43="Catastrófico",1,))))))</f>
        <v>0.8</v>
      </c>
      <c r="P43" s="282" t="str">
        <f>IF(OR(AND(J43="Muy Baja",N43="Leve"),AND(J43="Muy Baja",N43="Menor"),AND(J43="Baja",N43="Leve")),"Bajo",IF(OR(AND(J43="Muy baja",N43="Moderado"),AND(J43="Baja",N43="Menor"),AND(J43="Baja",N43="Moderado"),AND(J43="Media",N43="Leve"),AND(J43="Media",N43="Menor"),AND(J43="Media",N43="Moderado"),AND(J43="Alta",N43="Leve"),AND(J43="Alta",N43="Menor")),"Moderado",IF(OR(AND(J43="Muy Baja",N43="Mayor"),AND(J43="Baja",N43="Mayor"),AND(J43="Media",N43="Mayor"),AND(J43="Alta",N43="Moderado"),AND(J43="Alta",N43="Mayor"),AND(J43="Muy Alta",N43="Leve"),AND(J43="Muy Alta",N43="Menor"),AND(J43="Muy Alta",N43="Moderado"),AND(J43="Muy Alta",N43="Mayor")),"Alto",IF(OR(AND(J43="Muy Baja",N43="Catastrófico"),AND(J43="Baja",N43="Catastrófico"),AND(J43="Media",N43="Catastrófico"),AND(J43="Alta",N43="Catastrófico"),AND(J43="Muy Alta",N43="Catastrófico")),"Extremo",""))))</f>
        <v>Alto</v>
      </c>
      <c r="Q43" s="137">
        <v>1</v>
      </c>
      <c r="R43" s="156" t="s">
        <v>293</v>
      </c>
      <c r="S43" s="162" t="s">
        <v>305</v>
      </c>
      <c r="T43" s="139" t="str">
        <f t="shared" si="52"/>
        <v>Probabilidad</v>
      </c>
      <c r="U43" s="140" t="s">
        <v>14</v>
      </c>
      <c r="V43" s="140" t="s">
        <v>10</v>
      </c>
      <c r="W43" s="141" t="str">
        <f t="shared" si="53"/>
        <v>50%</v>
      </c>
      <c r="X43" s="140" t="s">
        <v>19</v>
      </c>
      <c r="Y43" s="140" t="s">
        <v>22</v>
      </c>
      <c r="Z43" s="140" t="s">
        <v>119</v>
      </c>
      <c r="AA43" s="142">
        <f t="shared" si="54"/>
        <v>0.2</v>
      </c>
      <c r="AB43" s="143" t="str">
        <f>IFERROR(IF(AA43="","",IF(AA43&lt;=0.2,"Muy Baja",IF(AA43&lt;=0.4,"Baja",IF(AA43&lt;=0.6,"Media",IF(AA43&lt;=0.8,"Alta","Muy Alta"))))),"")</f>
        <v>Muy Baja</v>
      </c>
      <c r="AC43" s="144">
        <f t="shared" si="55"/>
        <v>0.2</v>
      </c>
      <c r="AD43" s="143" t="str">
        <f t="shared" si="56"/>
        <v>Mayor</v>
      </c>
      <c r="AE43" s="144">
        <f t="shared" si="57"/>
        <v>0.8</v>
      </c>
      <c r="AF43" s="145" t="str">
        <f t="shared" ref="AF43:AF45" si="59">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Alto</v>
      </c>
      <c r="AG43" s="146" t="s">
        <v>31</v>
      </c>
      <c r="AH43" s="163" t="s">
        <v>306</v>
      </c>
      <c r="AI43" s="156" t="s">
        <v>293</v>
      </c>
      <c r="AJ43" s="149"/>
      <c r="AK43" s="149"/>
      <c r="AL43" s="147" t="s">
        <v>307</v>
      </c>
      <c r="AM43" s="150" t="s">
        <v>40</v>
      </c>
    </row>
    <row r="44" spans="2:39" ht="85.5" x14ac:dyDescent="0.25">
      <c r="B44" s="187"/>
      <c r="C44" s="289"/>
      <c r="D44" s="291"/>
      <c r="E44" s="397"/>
      <c r="F44" s="397"/>
      <c r="G44" s="399"/>
      <c r="H44" s="291"/>
      <c r="I44" s="297"/>
      <c r="J44" s="281"/>
      <c r="K44" s="279"/>
      <c r="L44" s="277"/>
      <c r="M44" s="279">
        <f>IF(NOT(ISERROR(MATCH(L44,_xlfn.ANCHORARRAY(#REF!),0))),#REF!&amp;"Por favor no seleccionar los criterios de impacto",L44)</f>
        <v>0</v>
      </c>
      <c r="N44" s="281"/>
      <c r="O44" s="279"/>
      <c r="P44" s="283"/>
      <c r="Q44" s="137">
        <v>2</v>
      </c>
      <c r="R44" s="156" t="s">
        <v>308</v>
      </c>
      <c r="S44" s="162" t="s">
        <v>309</v>
      </c>
      <c r="T44" s="139" t="str">
        <f t="shared" si="52"/>
        <v>Probabilidad</v>
      </c>
      <c r="U44" s="140" t="s">
        <v>15</v>
      </c>
      <c r="V44" s="140" t="s">
        <v>10</v>
      </c>
      <c r="W44" s="141" t="str">
        <f t="shared" si="53"/>
        <v>40%</v>
      </c>
      <c r="X44" s="140" t="s">
        <v>20</v>
      </c>
      <c r="Y44" s="140" t="s">
        <v>22</v>
      </c>
      <c r="Z44" s="140" t="s">
        <v>120</v>
      </c>
      <c r="AA44" s="142">
        <f t="shared" si="54"/>
        <v>0</v>
      </c>
      <c r="AB44" s="143" t="s">
        <v>107</v>
      </c>
      <c r="AC44" s="144">
        <f t="shared" si="55"/>
        <v>0</v>
      </c>
      <c r="AD44" s="143" t="str">
        <f t="shared" si="56"/>
        <v>Leve</v>
      </c>
      <c r="AE44" s="144">
        <f t="shared" si="57"/>
        <v>0</v>
      </c>
      <c r="AF44" s="145" t="str">
        <f t="shared" si="59"/>
        <v>Moderado</v>
      </c>
      <c r="AG44" s="146" t="s">
        <v>31</v>
      </c>
      <c r="AH44" s="147"/>
      <c r="AI44" s="148"/>
      <c r="AJ44" s="149"/>
      <c r="AK44" s="149"/>
      <c r="AL44" s="147"/>
      <c r="AM44" s="150"/>
    </row>
    <row r="45" spans="2:39" ht="228.75" thickBot="1" x14ac:dyDescent="0.3">
      <c r="B45" s="188"/>
      <c r="C45" s="289"/>
      <c r="D45" s="291"/>
      <c r="E45" s="397"/>
      <c r="F45" s="397"/>
      <c r="G45" s="399"/>
      <c r="H45" s="291"/>
      <c r="I45" s="297"/>
      <c r="J45" s="281"/>
      <c r="K45" s="279"/>
      <c r="L45" s="277"/>
      <c r="M45" s="279">
        <f>IF(NOT(ISERROR(MATCH(L45,_xlfn.ANCHORARRAY(#REF!),0))),#REF!&amp;"Por favor no seleccionar los criterios de impacto",L45)</f>
        <v>0</v>
      </c>
      <c r="N45" s="281"/>
      <c r="O45" s="279"/>
      <c r="P45" s="283"/>
      <c r="Q45" s="137">
        <v>3</v>
      </c>
      <c r="R45" s="156" t="s">
        <v>294</v>
      </c>
      <c r="S45" s="162" t="s">
        <v>540</v>
      </c>
      <c r="T45" s="139" t="str">
        <f t="shared" si="52"/>
        <v>Probabilidad</v>
      </c>
      <c r="U45" s="140" t="s">
        <v>14</v>
      </c>
      <c r="V45" s="140" t="s">
        <v>9</v>
      </c>
      <c r="W45" s="141" t="str">
        <f t="shared" si="53"/>
        <v>40%</v>
      </c>
      <c r="X45" s="140" t="s">
        <v>19</v>
      </c>
      <c r="Y45" s="140" t="s">
        <v>22</v>
      </c>
      <c r="Z45" s="140" t="s">
        <v>119</v>
      </c>
      <c r="AA45" s="142">
        <f t="shared" si="54"/>
        <v>0</v>
      </c>
      <c r="AB45" s="143" t="s">
        <v>107</v>
      </c>
      <c r="AC45" s="144">
        <f t="shared" si="55"/>
        <v>0</v>
      </c>
      <c r="AD45" s="143" t="str">
        <f t="shared" si="56"/>
        <v>Leve</v>
      </c>
      <c r="AE45" s="144">
        <f t="shared" si="57"/>
        <v>0</v>
      </c>
      <c r="AF45" s="145" t="str">
        <f t="shared" si="59"/>
        <v>Moderado</v>
      </c>
      <c r="AG45" s="154" t="s">
        <v>31</v>
      </c>
      <c r="AH45" s="147"/>
      <c r="AI45" s="148"/>
      <c r="AJ45" s="149"/>
      <c r="AK45" s="149"/>
      <c r="AL45" s="147"/>
      <c r="AM45" s="150"/>
    </row>
    <row r="46" spans="2:39" ht="216" x14ac:dyDescent="0.25">
      <c r="B46" s="192" t="s">
        <v>501</v>
      </c>
      <c r="C46" s="176">
        <v>18</v>
      </c>
      <c r="D46" s="130" t="s">
        <v>131</v>
      </c>
      <c r="E46" s="131" t="s">
        <v>310</v>
      </c>
      <c r="F46" s="131" t="s">
        <v>313</v>
      </c>
      <c r="G46" s="132" t="s">
        <v>316</v>
      </c>
      <c r="H46" s="130" t="s">
        <v>123</v>
      </c>
      <c r="I46" s="153">
        <v>360</v>
      </c>
      <c r="J46" s="133" t="str">
        <f>IF(I46&lt;=0,"",IF(I46&lt;=2,"Muy Baja",IF(I46&lt;=24,"Baja",IF(I46&lt;=500,"Media",IF(I46&lt;=5000,"Alta","Muy Alta")))))</f>
        <v>Media</v>
      </c>
      <c r="K46" s="134">
        <f>IF(J46="","",IF(J46="Muy Baja",0.2,IF(J46="Baja",0.4,IF(J46="Media",0.6,IF(J46="Alta",0.8,IF(J46="Muy Alta",1,))))))</f>
        <v>0.6</v>
      </c>
      <c r="L46" s="135" t="s">
        <v>150</v>
      </c>
      <c r="M46" s="134" t="str">
        <f>IF(NOT(ISERROR(MATCH(L46,'Tabla Impacto'!$B$221:$B$223,0))),'Tabla Impacto'!$F$223&amp;"Por favor no seleccionar los criterios de impacto(Afectación Económica o presupuestal y Pérdida Reputacional)",L46)</f>
        <v xml:space="preserve">     El riesgo afecta la imagen de alguna área de la organización</v>
      </c>
      <c r="N46" s="133" t="str">
        <f>IF(OR(M46='Tabla Impacto'!$C$11,M46='Tabla Impacto'!$D$11),"Leve",IF(OR(M46='Tabla Impacto'!$C$12,M46='Tabla Impacto'!$D$12),"Menor",IF(OR(M46='Tabla Impacto'!$C$13,M46='Tabla Impacto'!$D$13),"Moderado",IF(OR(M46='Tabla Impacto'!$C$14,M46='Tabla Impacto'!$D$14),"Mayor",IF(OR(M46='Tabla Impacto'!$C$15,M46='Tabla Impacto'!$D$15),"Catastrófico","")))))</f>
        <v>Leve</v>
      </c>
      <c r="O46" s="134">
        <f>IF(N46="","",IF(N46="Leve",0.2,IF(N46="Menor",0.4,IF(N46="Moderado",0.6,IF(N46="Mayor",0.8,IF(N46="Catastrófico",1,))))))</f>
        <v>0.2</v>
      </c>
      <c r="P46" s="136" t="str">
        <f>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Moderado</v>
      </c>
      <c r="Q46" s="137">
        <v>1</v>
      </c>
      <c r="R46" s="161" t="s">
        <v>319</v>
      </c>
      <c r="S46" s="160" t="s">
        <v>518</v>
      </c>
      <c r="T46" s="139" t="str">
        <f t="shared" si="52"/>
        <v>Probabilidad</v>
      </c>
      <c r="U46" s="140" t="s">
        <v>15</v>
      </c>
      <c r="V46" s="140" t="s">
        <v>9</v>
      </c>
      <c r="W46" s="141" t="str">
        <f t="shared" si="53"/>
        <v>30%</v>
      </c>
      <c r="X46" s="140" t="s">
        <v>19</v>
      </c>
      <c r="Y46" s="140" t="s">
        <v>22</v>
      </c>
      <c r="Z46" s="140" t="s">
        <v>119</v>
      </c>
      <c r="AA46" s="142">
        <f t="shared" si="54"/>
        <v>0.42</v>
      </c>
      <c r="AB46" s="143" t="str">
        <f>IFERROR(IF(AA46="","",IF(AA46&lt;=0.2,"Muy Baja",IF(AA46&lt;=0.4,"Baja",IF(AA46&lt;=0.6,"Media",IF(AA46&lt;=0.8,"Alta","Muy Alta"))))),"")</f>
        <v>Media</v>
      </c>
      <c r="AC46" s="144">
        <f t="shared" si="55"/>
        <v>0.42</v>
      </c>
      <c r="AD46" s="143" t="str">
        <f t="shared" si="56"/>
        <v>Leve</v>
      </c>
      <c r="AE46" s="144">
        <f t="shared" si="57"/>
        <v>0.2</v>
      </c>
      <c r="AF46" s="145" t="str">
        <f t="shared" ref="AF46" si="60">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Moderado</v>
      </c>
      <c r="AG46" s="146" t="s">
        <v>135</v>
      </c>
      <c r="AH46" s="147"/>
      <c r="AI46" s="148"/>
      <c r="AJ46" s="149"/>
      <c r="AK46" s="149"/>
      <c r="AL46" s="147"/>
      <c r="AM46" s="150"/>
    </row>
    <row r="47" spans="2:39" ht="189" x14ac:dyDescent="0.25">
      <c r="B47" s="190"/>
      <c r="C47" s="288">
        <v>19</v>
      </c>
      <c r="D47" s="290" t="s">
        <v>131</v>
      </c>
      <c r="E47" s="292" t="s">
        <v>311</v>
      </c>
      <c r="F47" s="292" t="s">
        <v>314</v>
      </c>
      <c r="G47" s="294" t="s">
        <v>317</v>
      </c>
      <c r="H47" s="290" t="s">
        <v>123</v>
      </c>
      <c r="I47" s="296">
        <v>2</v>
      </c>
      <c r="J47" s="280" t="str">
        <f>IF(I47&lt;=0,"",IF(I47&lt;=2,"Muy Baja",IF(I47&lt;=24,"Baja",IF(I47&lt;=500,"Media",IF(I47&lt;=5000,"Alta","Muy Alta")))))</f>
        <v>Muy Baja</v>
      </c>
      <c r="K47" s="278">
        <f>IF(J47="","",IF(J47="Muy Baja",0.2,IF(J47="Baja",0.4,IF(J47="Media",0.6,IF(J47="Alta",0.8,IF(J47="Muy Alta",1,))))))</f>
        <v>0.2</v>
      </c>
      <c r="L47" s="276" t="s">
        <v>153</v>
      </c>
      <c r="M47" s="278" t="str">
        <f>IF(NOT(ISERROR(MATCH(L47,'Tabla Impacto'!$B$221:$B$223,0))),'Tabla Impacto'!$F$223&amp;"Por favor no seleccionar los criterios de impacto(Afectación Económica o presupuestal y Pérdida Reputacional)",L47)</f>
        <v xml:space="preserve">     El riesgo afecta la imagen de de la entidad con efecto publicitario sostenido a nivel de sector administrativo, nivel departamental o municipal</v>
      </c>
      <c r="N47" s="280" t="str">
        <f>IF(OR(M47='Tabla Impacto'!$C$11,M47='Tabla Impacto'!$D$11),"Leve",IF(OR(M47='Tabla Impacto'!$C$12,M47='Tabla Impacto'!$D$12),"Menor",IF(OR(M47='Tabla Impacto'!$C$13,M47='Tabla Impacto'!$D$13),"Moderado",IF(OR(M47='Tabla Impacto'!$C$14,M47='Tabla Impacto'!$D$14),"Mayor",IF(OR(M47='Tabla Impacto'!$C$15,M47='Tabla Impacto'!$D$15),"Catastrófico","")))))</f>
        <v>Mayor</v>
      </c>
      <c r="O47" s="278">
        <f>IF(N47="","",IF(N47="Leve",0.2,IF(N47="Menor",0.4,IF(N47="Moderado",0.6,IF(N47="Mayor",0.8,IF(N47="Catastrófico",1,))))))</f>
        <v>0.8</v>
      </c>
      <c r="P47" s="282" t="str">
        <f>IF(OR(AND(J47="Muy Baja",N47="Leve"),AND(J47="Muy Baja",N47="Menor"),AND(J47="Baja",N47="Leve")),"Bajo",IF(OR(AND(J47="Muy baja",N47="Moderado"),AND(J47="Baja",N47="Menor"),AND(J47="Baja",N47="Moderado"),AND(J47="Media",N47="Leve"),AND(J47="Media",N47="Menor"),AND(J47="Media",N47="Moderado"),AND(J47="Alta",N47="Leve"),AND(J47="Alta",N47="Menor")),"Moderado",IF(OR(AND(J47="Muy Baja",N47="Mayor"),AND(J47="Baja",N47="Mayor"),AND(J47="Media",N47="Mayor"),AND(J47="Alta",N47="Moderado"),AND(J47="Alta",N47="Mayor"),AND(J47="Muy Alta",N47="Leve"),AND(J47="Muy Alta",N47="Menor"),AND(J47="Muy Alta",N47="Moderado"),AND(J47="Muy Alta",N47="Mayor")),"Alto",IF(OR(AND(J47="Muy Baja",N47="Catastrófico"),AND(J47="Baja",N47="Catastrófico"),AND(J47="Media",N47="Catastrófico"),AND(J47="Alta",N47="Catastrófico"),AND(J47="Muy Alta",N47="Catastrófico")),"Extremo",""))))</f>
        <v>Alto</v>
      </c>
      <c r="Q47" s="137">
        <v>1</v>
      </c>
      <c r="R47" s="137" t="s">
        <v>319</v>
      </c>
      <c r="S47" s="138" t="s">
        <v>320</v>
      </c>
      <c r="T47" s="304" t="str">
        <f t="shared" si="52"/>
        <v>Probabilidad</v>
      </c>
      <c r="U47" s="286" t="s">
        <v>14</v>
      </c>
      <c r="V47" s="286" t="s">
        <v>9</v>
      </c>
      <c r="W47" s="284" t="str">
        <f t="shared" si="53"/>
        <v>40%</v>
      </c>
      <c r="X47" s="286" t="s">
        <v>19</v>
      </c>
      <c r="Y47" s="286" t="s">
        <v>22</v>
      </c>
      <c r="Z47" s="286" t="s">
        <v>119</v>
      </c>
      <c r="AA47" s="274">
        <f t="shared" si="54"/>
        <v>0.12</v>
      </c>
      <c r="AB47" s="269" t="str">
        <f>IFERROR(IF(AA47="","",IF(AA47&lt;=0.2,"Muy Baja",IF(AA47&lt;=0.4,"Baja",IF(AA47&lt;=0.6,"Media",IF(AA47&lt;=0.8,"Alta","Muy Alta"))))),"")</f>
        <v>Muy Baja</v>
      </c>
      <c r="AC47" s="284">
        <f t="shared" si="55"/>
        <v>0.12</v>
      </c>
      <c r="AD47" s="269" t="str">
        <f t="shared" si="56"/>
        <v>Mayor</v>
      </c>
      <c r="AE47" s="284">
        <f t="shared" si="57"/>
        <v>0.8</v>
      </c>
      <c r="AF47" s="271" t="str">
        <f t="shared" ref="AF47" si="61">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Alto</v>
      </c>
      <c r="AG47" s="298" t="s">
        <v>135</v>
      </c>
      <c r="AH47" s="147" t="s">
        <v>490</v>
      </c>
      <c r="AI47" s="147" t="s">
        <v>491</v>
      </c>
      <c r="AJ47" s="149">
        <v>45306</v>
      </c>
      <c r="AK47" s="149">
        <v>45473</v>
      </c>
      <c r="AL47" s="147" t="s">
        <v>493</v>
      </c>
      <c r="AM47" s="150" t="s">
        <v>41</v>
      </c>
    </row>
    <row r="48" spans="2:39" ht="121.5" x14ac:dyDescent="0.25">
      <c r="B48" s="190"/>
      <c r="C48" s="289"/>
      <c r="D48" s="291"/>
      <c r="E48" s="293"/>
      <c r="F48" s="293"/>
      <c r="G48" s="295"/>
      <c r="H48" s="291"/>
      <c r="I48" s="297"/>
      <c r="J48" s="281"/>
      <c r="K48" s="279"/>
      <c r="L48" s="277"/>
      <c r="M48" s="279">
        <f>IF(NOT(ISERROR(MATCH(L48,_xlfn.ANCHORARRAY(#REF!),0))),#REF!&amp;"Por favor no seleccionar los criterios de impacto",L48)</f>
        <v>0</v>
      </c>
      <c r="N48" s="281"/>
      <c r="O48" s="279"/>
      <c r="P48" s="283"/>
      <c r="Q48" s="137">
        <v>2</v>
      </c>
      <c r="R48" s="137" t="s">
        <v>319</v>
      </c>
      <c r="S48" s="574" t="s">
        <v>533</v>
      </c>
      <c r="T48" s="305"/>
      <c r="U48" s="287"/>
      <c r="V48" s="287"/>
      <c r="W48" s="285"/>
      <c r="X48" s="287"/>
      <c r="Y48" s="287"/>
      <c r="Z48" s="287"/>
      <c r="AA48" s="275"/>
      <c r="AB48" s="270"/>
      <c r="AC48" s="285"/>
      <c r="AD48" s="270"/>
      <c r="AE48" s="285"/>
      <c r="AF48" s="272"/>
      <c r="AG48" s="299"/>
      <c r="AH48" s="147" t="s">
        <v>492</v>
      </c>
      <c r="AI48" s="147" t="s">
        <v>491</v>
      </c>
      <c r="AJ48" s="149">
        <v>45323</v>
      </c>
      <c r="AK48" s="149">
        <v>45473</v>
      </c>
      <c r="AL48" s="147" t="s">
        <v>493</v>
      </c>
      <c r="AM48" s="150" t="s">
        <v>41</v>
      </c>
    </row>
    <row r="49" spans="2:39" ht="94.5" x14ac:dyDescent="0.25">
      <c r="B49" s="190"/>
      <c r="C49" s="288">
        <v>20</v>
      </c>
      <c r="D49" s="290" t="s">
        <v>133</v>
      </c>
      <c r="E49" s="292" t="s">
        <v>312</v>
      </c>
      <c r="F49" s="292" t="s">
        <v>315</v>
      </c>
      <c r="G49" s="294" t="s">
        <v>318</v>
      </c>
      <c r="H49" s="290" t="s">
        <v>123</v>
      </c>
      <c r="I49" s="296">
        <v>360</v>
      </c>
      <c r="J49" s="280" t="str">
        <f>IF(I49&lt;=0,"",IF(I49&lt;=2,"Muy Baja",IF(I49&lt;=24,"Baja",IF(I49&lt;=500,"Media",IF(I49&lt;=5000,"Alta","Muy Alta")))))</f>
        <v>Media</v>
      </c>
      <c r="K49" s="278">
        <f>IF(J49="","",IF(J49="Muy Baja",0.2,IF(J49="Baja",0.4,IF(J49="Media",0.6,IF(J49="Alta",0.8,IF(J49="Muy Alta",1,))))))</f>
        <v>0.6</v>
      </c>
      <c r="L49" s="276" t="s">
        <v>147</v>
      </c>
      <c r="M49" s="278" t="str">
        <f>IF(NOT(ISERROR(MATCH(L49,'Tabla Impacto'!$B$221:$B$223,0))),'Tabla Impacto'!$F$223&amp;"Por favor no seleccionar los criterios de impacto(Afectación Económica o presupuestal y Pérdida Reputacional)",L49)</f>
        <v xml:space="preserve">     Entre 10 y 50 SMLMV </v>
      </c>
      <c r="N49" s="280" t="str">
        <f>IF(OR(M49='Tabla Impacto'!$C$11,M49='Tabla Impacto'!$D$11),"Leve",IF(OR(M49='Tabla Impacto'!$C$12,M49='Tabla Impacto'!$D$12),"Menor",IF(OR(M49='Tabla Impacto'!$C$13,M49='Tabla Impacto'!$D$13),"Moderado",IF(OR(M49='Tabla Impacto'!$C$14,M49='Tabla Impacto'!$D$14),"Mayor",IF(OR(M49='Tabla Impacto'!$C$15,M49='Tabla Impacto'!$D$15),"Catastrófico","")))))</f>
        <v>Menor</v>
      </c>
      <c r="O49" s="278">
        <f>IF(N49="","",IF(N49="Leve",0.2,IF(N49="Menor",0.4,IF(N49="Moderado",0.6,IF(N49="Mayor",0.8,IF(N49="Catastrófico",1,))))))</f>
        <v>0.4</v>
      </c>
      <c r="P49" s="282" t="str">
        <f>IF(OR(AND(J49="Muy Baja",N49="Leve"),AND(J49="Muy Baja",N49="Menor"),AND(J49="Baja",N49="Leve")),"Bajo",IF(OR(AND(J49="Muy baja",N49="Moderado"),AND(J49="Baja",N49="Menor"),AND(J49="Baja",N49="Moderado"),AND(J49="Media",N49="Leve"),AND(J49="Media",N49="Menor"),AND(J49="Media",N49="Moderado"),AND(J49="Alta",N49="Leve"),AND(J49="Alta",N49="Menor")),"Moderado",IF(OR(AND(J49="Muy Baja",N49="Mayor"),AND(J49="Baja",N49="Mayor"),AND(J49="Media",N49="Mayor"),AND(J49="Alta",N49="Moderado"),AND(J49="Alta",N49="Mayor"),AND(J49="Muy Alta",N49="Leve"),AND(J49="Muy Alta",N49="Menor"),AND(J49="Muy Alta",N49="Moderado"),AND(J49="Muy Alta",N49="Mayor")),"Alto",IF(OR(AND(J49="Muy Baja",N49="Catastrófico"),AND(J49="Baja",N49="Catastrófico"),AND(J49="Media",N49="Catastrófico"),AND(J49="Alta",N49="Catastrófico"),AND(J49="Muy Alta",N49="Catastrófico")),"Extremo",""))))</f>
        <v>Moderado</v>
      </c>
      <c r="Q49" s="137">
        <v>1</v>
      </c>
      <c r="R49" s="137" t="s">
        <v>319</v>
      </c>
      <c r="S49" s="138" t="s">
        <v>534</v>
      </c>
      <c r="T49" s="304" t="str">
        <f t="shared" si="52"/>
        <v>Probabilidad</v>
      </c>
      <c r="U49" s="286" t="s">
        <v>14</v>
      </c>
      <c r="V49" s="286" t="s">
        <v>10</v>
      </c>
      <c r="W49" s="284" t="str">
        <f t="shared" si="53"/>
        <v>50%</v>
      </c>
      <c r="X49" s="286" t="s">
        <v>19</v>
      </c>
      <c r="Y49" s="286" t="s">
        <v>22</v>
      </c>
      <c r="Z49" s="286" t="s">
        <v>119</v>
      </c>
      <c r="AA49" s="274">
        <f>IFERROR(IF(T49="Probabilidad",(K49-(+K49*W49)),IF(T49="Impacto",K49,"")),"")</f>
        <v>0.3</v>
      </c>
      <c r="AB49" s="269" t="str">
        <f>IFERROR(IF(AA49="","",IF(AA49&lt;=0.2,"Muy Baja",IF(AA49&lt;=0.4,"Baja",IF(AA49&lt;=0.6,"Media",IF(AA49&lt;=0.8,"Alta","Muy Alta"))))),"")</f>
        <v>Baja</v>
      </c>
      <c r="AC49" s="284">
        <f t="shared" si="55"/>
        <v>0.3</v>
      </c>
      <c r="AD49" s="269" t="str">
        <f>IFERROR(IF(AE49="","",IF(AE49&lt;=0.2,"Leve",IF(AE49&lt;=0.4,"Menor",IF(AE49&lt;=0.6,"Moderado",IF(AE49&lt;=0.8,"Mayor","Catastrófico"))))),"")</f>
        <v>Menor</v>
      </c>
      <c r="AE49" s="284">
        <f t="shared" si="57"/>
        <v>0.4</v>
      </c>
      <c r="AF49" s="271" t="str">
        <f t="shared" ref="AF49" si="62">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Moderado</v>
      </c>
      <c r="AG49" s="298" t="s">
        <v>135</v>
      </c>
      <c r="AH49" s="147"/>
      <c r="AI49" s="148"/>
      <c r="AJ49" s="149"/>
      <c r="AK49" s="149"/>
      <c r="AL49" s="147"/>
      <c r="AM49" s="150"/>
    </row>
    <row r="50" spans="2:39" ht="108.75" thickBot="1" x14ac:dyDescent="0.3">
      <c r="B50" s="191"/>
      <c r="C50" s="289"/>
      <c r="D50" s="291"/>
      <c r="E50" s="293"/>
      <c r="F50" s="293"/>
      <c r="G50" s="295"/>
      <c r="H50" s="291"/>
      <c r="I50" s="297"/>
      <c r="J50" s="281"/>
      <c r="K50" s="279"/>
      <c r="L50" s="277"/>
      <c r="M50" s="279">
        <f>IF(NOT(ISERROR(MATCH(L50,_xlfn.ANCHORARRAY(#REF!),0))),#REF!&amp;"Por favor no seleccionar los criterios de impacto",L50)</f>
        <v>0</v>
      </c>
      <c r="N50" s="281"/>
      <c r="O50" s="279"/>
      <c r="P50" s="283"/>
      <c r="Q50" s="137">
        <v>2</v>
      </c>
      <c r="R50" s="137" t="s">
        <v>319</v>
      </c>
      <c r="S50" s="138" t="s">
        <v>535</v>
      </c>
      <c r="T50" s="305"/>
      <c r="U50" s="287"/>
      <c r="V50" s="287"/>
      <c r="W50" s="285"/>
      <c r="X50" s="287"/>
      <c r="Y50" s="287"/>
      <c r="Z50" s="287"/>
      <c r="AA50" s="275"/>
      <c r="AB50" s="270"/>
      <c r="AC50" s="285"/>
      <c r="AD50" s="270"/>
      <c r="AE50" s="285"/>
      <c r="AF50" s="272"/>
      <c r="AG50" s="299"/>
      <c r="AH50" s="147"/>
      <c r="AI50" s="148"/>
      <c r="AJ50" s="149"/>
      <c r="AK50" s="149"/>
      <c r="AL50" s="147"/>
      <c r="AM50" s="150"/>
    </row>
    <row r="51" spans="2:39" ht="108" x14ac:dyDescent="0.25">
      <c r="B51" s="207" t="s">
        <v>502</v>
      </c>
      <c r="C51" s="288">
        <v>21</v>
      </c>
      <c r="D51" s="290" t="s">
        <v>131</v>
      </c>
      <c r="E51" s="292" t="s">
        <v>321</v>
      </c>
      <c r="F51" s="292" t="s">
        <v>324</v>
      </c>
      <c r="G51" s="294" t="s">
        <v>327</v>
      </c>
      <c r="H51" s="290" t="s">
        <v>128</v>
      </c>
      <c r="I51" s="296">
        <v>3104</v>
      </c>
      <c r="J51" s="280" t="str">
        <f>IF(I51&lt;=0,"",IF(I51&lt;=2,"Muy Baja",IF(I51&lt;=24,"Baja",IF(I51&lt;=500,"Media",IF(I51&lt;=5000,"Alta","Muy Alta")))))</f>
        <v>Alta</v>
      </c>
      <c r="K51" s="278">
        <f>IF(J51="","",IF(J51="Muy Baja",0.2,IF(J51="Baja",0.4,IF(J51="Media",0.6,IF(J51="Alta",0.8,IF(J51="Muy Alta",1,))))))</f>
        <v>0.8</v>
      </c>
      <c r="L51" s="276" t="s">
        <v>152</v>
      </c>
      <c r="M51" s="278" t="str">
        <f>IF(NOT(ISERROR(MATCH(L51,'Tabla Impacto'!$B$221:$B$223,0))),'Tabla Impacto'!$F$223&amp;"Por favor no seleccionar los criterios de impacto(Afectación Económica o presupuestal y Pérdida Reputacional)",L51)</f>
        <v xml:space="preserve">     El riesgo afecta la imagen de la entidad con algunos usuarios de relevancia frente al logro de los objetivos</v>
      </c>
      <c r="N51" s="280" t="str">
        <f>IF(OR(M51='Tabla Impacto'!$C$11,M51='Tabla Impacto'!$D$11),"Leve",IF(OR(M51='Tabla Impacto'!$C$12,M51='Tabla Impacto'!$D$12),"Menor",IF(OR(M51='Tabla Impacto'!$C$13,M51='Tabla Impacto'!$D$13),"Moderado",IF(OR(M51='Tabla Impacto'!$C$14,M51='Tabla Impacto'!$D$14),"Mayor",IF(OR(M51='Tabla Impacto'!$C$15,M51='Tabla Impacto'!$D$15),"Catastrófico","")))))</f>
        <v>Moderado</v>
      </c>
      <c r="O51" s="278">
        <f>IF(N51="","",IF(N51="Leve",0.2,IF(N51="Menor",0.4,IF(N51="Moderado",0.6,IF(N51="Mayor",0.8,IF(N51="Catastrófico",1,))))))</f>
        <v>0.6</v>
      </c>
      <c r="P51" s="282" t="str">
        <f>IF(OR(AND(J51="Muy Baja",N51="Leve"),AND(J51="Muy Baja",N51="Menor"),AND(J51="Baja",N51="Leve")),"Bajo",IF(OR(AND(J51="Muy baja",N51="Moderado"),AND(J51="Baja",N51="Menor"),AND(J51="Baja",N51="Moderado"),AND(J51="Media",N51="Leve"),AND(J51="Media",N51="Menor"),AND(J51="Media",N51="Moderado"),AND(J51="Alta",N51="Leve"),AND(J51="Alta",N51="Menor")),"Moderado",IF(OR(AND(J51="Muy Baja",N51="Mayor"),AND(J51="Baja",N51="Mayor"),AND(J51="Media",N51="Mayor"),AND(J51="Alta",N51="Moderado"),AND(J51="Alta",N51="Mayor"),AND(J51="Muy Alta",N51="Leve"),AND(J51="Muy Alta",N51="Menor"),AND(J51="Muy Alta",N51="Moderado"),AND(J51="Muy Alta",N51="Mayor")),"Alto",IF(OR(AND(J51="Muy Baja",N51="Catastrófico"),AND(J51="Baja",N51="Catastrófico"),AND(J51="Media",N51="Catastrófico"),AND(J51="Alta",N51="Catastrófico"),AND(J51="Muy Alta",N51="Catastrófico")),"Extremo",""))))</f>
        <v>Alto</v>
      </c>
      <c r="Q51" s="137">
        <v>1</v>
      </c>
      <c r="R51" s="156" t="s">
        <v>330</v>
      </c>
      <c r="S51" s="138" t="s">
        <v>331</v>
      </c>
      <c r="T51" s="139" t="str">
        <f t="shared" si="52"/>
        <v>Probabilidad</v>
      </c>
      <c r="U51" s="140" t="s">
        <v>15</v>
      </c>
      <c r="V51" s="140" t="s">
        <v>9</v>
      </c>
      <c r="W51" s="141" t="str">
        <f t="shared" si="53"/>
        <v>30%</v>
      </c>
      <c r="X51" s="140" t="s">
        <v>19</v>
      </c>
      <c r="Y51" s="140" t="s">
        <v>22</v>
      </c>
      <c r="Z51" s="140" t="s">
        <v>119</v>
      </c>
      <c r="AA51" s="142">
        <f>IFERROR(IF(T51="Probabilidad",(K51-(+K51*W51)),IF(T51="Impacto",K51,"")),"")</f>
        <v>0.56000000000000005</v>
      </c>
      <c r="AB51" s="143" t="str">
        <f>IFERROR(IF(AA51="","",IF(AA51&lt;=0.2,"Muy Baja",IF(AA51&lt;=0.4,"Baja",IF(AA51&lt;=0.6,"Media",IF(AA51&lt;=0.8,"Alta","Muy Alta"))))),"")</f>
        <v>Media</v>
      </c>
      <c r="AC51" s="144">
        <f t="shared" si="55"/>
        <v>0.56000000000000005</v>
      </c>
      <c r="AD51" s="143" t="str">
        <f t="shared" ref="AD51:AD57" si="63">IFERROR(IF(AE51="","",IF(AE51&lt;=0.2,"Leve",IF(AE51&lt;=0.4,"Menor",IF(AE51&lt;=0.6,"Moderado",IF(AE51&lt;=0.8,"Mayor","Catastrófico"))))),"")</f>
        <v>Moderado</v>
      </c>
      <c r="AE51" s="144">
        <f t="shared" si="57"/>
        <v>0.6</v>
      </c>
      <c r="AF51" s="145" t="str">
        <f t="shared" ref="AF51:AF52" si="64">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Moderado</v>
      </c>
      <c r="AG51" s="146" t="s">
        <v>31</v>
      </c>
      <c r="AH51" s="147"/>
      <c r="AI51" s="148"/>
      <c r="AJ51" s="149"/>
      <c r="AK51" s="149"/>
      <c r="AL51" s="147"/>
      <c r="AM51" s="150"/>
    </row>
    <row r="52" spans="2:39" ht="121.5" x14ac:dyDescent="0.25">
      <c r="B52" s="208"/>
      <c r="C52" s="289"/>
      <c r="D52" s="291"/>
      <c r="E52" s="293"/>
      <c r="F52" s="293"/>
      <c r="G52" s="295"/>
      <c r="H52" s="291"/>
      <c r="I52" s="297"/>
      <c r="J52" s="281"/>
      <c r="K52" s="279"/>
      <c r="L52" s="277"/>
      <c r="M52" s="279">
        <f>IF(NOT(ISERROR(MATCH(L52,_xlfn.ANCHORARRAY(#REF!),0))),#REF!&amp;"Por favor no seleccionar los criterios de impacto",L52)</f>
        <v>0</v>
      </c>
      <c r="N52" s="281"/>
      <c r="O52" s="279"/>
      <c r="P52" s="283"/>
      <c r="Q52" s="137">
        <v>2</v>
      </c>
      <c r="R52" s="156" t="s">
        <v>330</v>
      </c>
      <c r="S52" s="138" t="s">
        <v>332</v>
      </c>
      <c r="T52" s="139" t="str">
        <f t="shared" si="52"/>
        <v>Probabilidad</v>
      </c>
      <c r="U52" s="140" t="s">
        <v>14</v>
      </c>
      <c r="V52" s="140" t="s">
        <v>9</v>
      </c>
      <c r="W52" s="141" t="str">
        <f t="shared" si="53"/>
        <v>40%</v>
      </c>
      <c r="X52" s="140" t="s">
        <v>19</v>
      </c>
      <c r="Y52" s="140" t="s">
        <v>22</v>
      </c>
      <c r="Z52" s="140" t="s">
        <v>119</v>
      </c>
      <c r="AA52" s="142"/>
      <c r="AB52" s="143" t="s">
        <v>107</v>
      </c>
      <c r="AC52" s="144">
        <f t="shared" si="55"/>
        <v>0</v>
      </c>
      <c r="AD52" s="143" t="str">
        <f t="shared" si="63"/>
        <v>Leve</v>
      </c>
      <c r="AE52" s="144">
        <f t="shared" si="57"/>
        <v>0</v>
      </c>
      <c r="AF52" s="145" t="str">
        <f t="shared" si="64"/>
        <v>Moderado</v>
      </c>
      <c r="AG52" s="146" t="s">
        <v>31</v>
      </c>
      <c r="AH52" s="147"/>
      <c r="AI52" s="148"/>
      <c r="AJ52" s="149"/>
      <c r="AK52" s="149"/>
      <c r="AL52" s="147"/>
      <c r="AM52" s="150"/>
    </row>
    <row r="53" spans="2:39" ht="162" x14ac:dyDescent="0.25">
      <c r="B53" s="208"/>
      <c r="C53" s="176">
        <v>22</v>
      </c>
      <c r="D53" s="130" t="s">
        <v>131</v>
      </c>
      <c r="E53" s="131" t="s">
        <v>322</v>
      </c>
      <c r="F53" s="131" t="s">
        <v>325</v>
      </c>
      <c r="G53" s="132" t="s">
        <v>328</v>
      </c>
      <c r="H53" s="130" t="s">
        <v>128</v>
      </c>
      <c r="I53" s="153">
        <v>22300</v>
      </c>
      <c r="J53" s="133" t="str">
        <f>IF(I53&lt;=0,"",IF(I53&lt;=2,"Muy Baja",IF(I53&lt;=24,"Baja",IF(I53&lt;=500,"Media",IF(I53&lt;=5000,"Alta","Muy Alta")))))</f>
        <v>Muy Alta</v>
      </c>
      <c r="K53" s="134">
        <f>IF(J53="","",IF(J53="Muy Baja",0.2,IF(J53="Baja",0.4,IF(J53="Media",0.6,IF(J53="Alta",0.8,IF(J53="Muy Alta",1,))))))</f>
        <v>1</v>
      </c>
      <c r="L53" s="135" t="s">
        <v>153</v>
      </c>
      <c r="M53" s="134" t="str">
        <f>IF(NOT(ISERROR(MATCH(L53,'Tabla Impacto'!$B$221:$B$223,0))),'Tabla Impacto'!$F$223&amp;"Por favor no seleccionar los criterios de impacto(Afectación Económica o presupuestal y Pérdida Reputacional)",L53)</f>
        <v xml:space="preserve">     El riesgo afecta la imagen de de la entidad con efecto publicitario sostenido a nivel de sector administrativo, nivel departamental o municipal</v>
      </c>
      <c r="N53" s="133" t="str">
        <f>IF(OR(M53='Tabla Impacto'!$C$11,M53='Tabla Impacto'!$D$11),"Leve",IF(OR(M53='Tabla Impacto'!$C$12,M53='Tabla Impacto'!$D$12),"Menor",IF(OR(M53='Tabla Impacto'!$C$13,M53='Tabla Impacto'!$D$13),"Moderado",IF(OR(M53='Tabla Impacto'!$C$14,M53='Tabla Impacto'!$D$14),"Mayor",IF(OR(M53='Tabla Impacto'!$C$15,M53='Tabla Impacto'!$D$15),"Catastrófico","")))))</f>
        <v>Mayor</v>
      </c>
      <c r="O53" s="134">
        <f>IF(N53="","",IF(N53="Leve",0.2,IF(N53="Menor",0.4,IF(N53="Moderado",0.6,IF(N53="Mayor",0.8,IF(N53="Catastrófico",1,))))))</f>
        <v>0.8</v>
      </c>
      <c r="P53" s="136" t="str">
        <f>IF(OR(AND(J53="Muy Baja",N53="Leve"),AND(J53="Muy Baja",N53="Menor"),AND(J53="Baja",N53="Leve")),"Bajo",IF(OR(AND(J53="Muy baja",N53="Moderado"),AND(J53="Baja",N53="Menor"),AND(J53="Baja",N53="Moderado"),AND(J53="Media",N53="Leve"),AND(J53="Media",N53="Menor"),AND(J53="Media",N53="Moderado"),AND(J53="Alta",N53="Leve"),AND(J53="Alta",N53="Menor")),"Moderado",IF(OR(AND(J53="Muy Baja",N53="Mayor"),AND(J53="Baja",N53="Mayor"),AND(J53="Media",N53="Mayor"),AND(J53="Alta",N53="Moderado"),AND(J53="Alta",N53="Mayor"),AND(J53="Muy Alta",N53="Leve"),AND(J53="Muy Alta",N53="Menor"),AND(J53="Muy Alta",N53="Moderado"),AND(J53="Muy Alta",N53="Mayor")),"Alto",IF(OR(AND(J53="Muy Baja",N53="Catastrófico"),AND(J53="Baja",N53="Catastrófico"),AND(J53="Media",N53="Catastrófico"),AND(J53="Alta",N53="Catastrófico"),AND(J53="Muy Alta",N53="Catastrófico")),"Extremo",""))))</f>
        <v>Alto</v>
      </c>
      <c r="Q53" s="137">
        <v>1</v>
      </c>
      <c r="R53" s="156" t="s">
        <v>330</v>
      </c>
      <c r="S53" s="138" t="s">
        <v>335</v>
      </c>
      <c r="T53" s="139" t="str">
        <f t="shared" si="52"/>
        <v>Probabilidad</v>
      </c>
      <c r="U53" s="140" t="s">
        <v>14</v>
      </c>
      <c r="V53" s="140" t="s">
        <v>9</v>
      </c>
      <c r="W53" s="141" t="str">
        <f t="shared" si="53"/>
        <v>40%</v>
      </c>
      <c r="X53" s="140" t="s">
        <v>19</v>
      </c>
      <c r="Y53" s="140" t="s">
        <v>22</v>
      </c>
      <c r="Z53" s="140" t="s">
        <v>119</v>
      </c>
      <c r="AA53" s="142">
        <f t="shared" ref="AA53:AA73" si="65">IFERROR(IF(T53="Probabilidad",(K53-(+K53*W53)),IF(T53="Impacto",K53,"")),"")</f>
        <v>0.6</v>
      </c>
      <c r="AB53" s="143" t="str">
        <f>IFERROR(IF(AA53="","",IF(AA53&lt;=0.2,"Muy Baja",IF(AA53&lt;=0.4,"Baja",IF(AA53&lt;=0.6,"Media",IF(AA53&lt;=0.8,"Alta","Muy Alta"))))),"")</f>
        <v>Media</v>
      </c>
      <c r="AC53" s="144">
        <f t="shared" si="55"/>
        <v>0.6</v>
      </c>
      <c r="AD53" s="143" t="str">
        <f t="shared" si="63"/>
        <v>Mayor</v>
      </c>
      <c r="AE53" s="144">
        <f t="shared" si="57"/>
        <v>0.8</v>
      </c>
      <c r="AF53" s="145" t="str">
        <f t="shared" ref="AF53" si="66">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Alto</v>
      </c>
      <c r="AG53" s="146" t="s">
        <v>135</v>
      </c>
      <c r="AH53" s="147" t="s">
        <v>336</v>
      </c>
      <c r="AI53" s="148" t="s">
        <v>337</v>
      </c>
      <c r="AJ53" s="164">
        <v>45292</v>
      </c>
      <c r="AK53" s="164">
        <v>45646</v>
      </c>
      <c r="AL53" s="147" t="s">
        <v>338</v>
      </c>
      <c r="AM53" s="150" t="s">
        <v>40</v>
      </c>
    </row>
    <row r="54" spans="2:39" ht="162" x14ac:dyDescent="0.25">
      <c r="B54" s="208"/>
      <c r="C54" s="288">
        <v>23</v>
      </c>
      <c r="D54" s="290" t="s">
        <v>131</v>
      </c>
      <c r="E54" s="292" t="s">
        <v>323</v>
      </c>
      <c r="F54" s="292" t="s">
        <v>326</v>
      </c>
      <c r="G54" s="306" t="s">
        <v>329</v>
      </c>
      <c r="H54" s="290" t="s">
        <v>128</v>
      </c>
      <c r="I54" s="296">
        <v>900</v>
      </c>
      <c r="J54" s="280" t="str">
        <f>IF(I54&lt;=0,"",IF(I54&lt;=2,"Muy Baja",IF(I54&lt;=24,"Baja",IF(I54&lt;=500,"Media",IF(I54&lt;=5000,"Alta","Muy Alta")))))</f>
        <v>Alta</v>
      </c>
      <c r="K54" s="278">
        <f>IF(J54="","",IF(J54="Muy Baja",0.2,IF(J54="Baja",0.4,IF(J54="Media",0.6,IF(J54="Alta",0.8,IF(J54="Muy Alta",1,))))))</f>
        <v>0.8</v>
      </c>
      <c r="L54" s="276" t="s">
        <v>152</v>
      </c>
      <c r="M54" s="278" t="str">
        <f>IF(NOT(ISERROR(MATCH(L54,'Tabla Impacto'!$B$221:$B$223,0))),'Tabla Impacto'!$F$223&amp;"Por favor no seleccionar los criterios de impacto(Afectación Económica o presupuestal y Pérdida Reputacional)",L54)</f>
        <v xml:space="preserve">     El riesgo afecta la imagen de la entidad con algunos usuarios de relevancia frente al logro de los objetivos</v>
      </c>
      <c r="N54" s="280" t="str">
        <f>IF(OR(M54='Tabla Impacto'!$C$11,M54='Tabla Impacto'!$D$11),"Leve",IF(OR(M54='Tabla Impacto'!$C$12,M54='Tabla Impacto'!$D$12),"Menor",IF(OR(M54='Tabla Impacto'!$C$13,M54='Tabla Impacto'!$D$13),"Moderado",IF(OR(M54='Tabla Impacto'!$C$14,M54='Tabla Impacto'!$D$14),"Mayor",IF(OR(M54='Tabla Impacto'!$C$15,M54='Tabla Impacto'!$D$15),"Catastrófico","")))))</f>
        <v>Moderado</v>
      </c>
      <c r="O54" s="278">
        <f>IF(N54="","",IF(N54="Leve",0.2,IF(N54="Menor",0.4,IF(N54="Moderado",0.6,IF(N54="Mayor",0.8,IF(N54="Catastrófico",1,))))))</f>
        <v>0.6</v>
      </c>
      <c r="P54" s="282" t="str">
        <f>IF(OR(AND(J54="Muy Baja",N54="Leve"),AND(J54="Muy Baja",N54="Menor"),AND(J54="Baja",N54="Leve")),"Bajo",IF(OR(AND(J54="Muy baja",N54="Moderado"),AND(J54="Baja",N54="Menor"),AND(J54="Baja",N54="Moderado"),AND(J54="Media",N54="Leve"),AND(J54="Media",N54="Menor"),AND(J54="Media",N54="Moderado"),AND(J54="Alta",N54="Leve"),AND(J54="Alta",N54="Menor")),"Moderado",IF(OR(AND(J54="Muy Baja",N54="Mayor"),AND(J54="Baja",N54="Mayor"),AND(J54="Media",N54="Mayor"),AND(J54="Alta",N54="Moderado"),AND(J54="Alta",N54="Mayor"),AND(J54="Muy Alta",N54="Leve"),AND(J54="Muy Alta",N54="Menor"),AND(J54="Muy Alta",N54="Moderado"),AND(J54="Muy Alta",N54="Mayor")),"Alto",IF(OR(AND(J54="Muy Baja",N54="Catastrófico"),AND(J54="Baja",N54="Catastrófico"),AND(J54="Media",N54="Catastrófico"),AND(J54="Alta",N54="Catastrófico"),AND(J54="Muy Alta",N54="Catastrófico")),"Extremo",""))))</f>
        <v>Alto</v>
      </c>
      <c r="Q54" s="137">
        <v>1</v>
      </c>
      <c r="R54" s="156" t="s">
        <v>330</v>
      </c>
      <c r="S54" s="138" t="s">
        <v>333</v>
      </c>
      <c r="T54" s="139" t="str">
        <f t="shared" si="52"/>
        <v>Probabilidad</v>
      </c>
      <c r="U54" s="140" t="s">
        <v>14</v>
      </c>
      <c r="V54" s="140" t="s">
        <v>9</v>
      </c>
      <c r="W54" s="141" t="str">
        <f t="shared" si="53"/>
        <v>40%</v>
      </c>
      <c r="X54" s="140" t="s">
        <v>19</v>
      </c>
      <c r="Y54" s="140" t="s">
        <v>22</v>
      </c>
      <c r="Z54" s="140" t="s">
        <v>119</v>
      </c>
      <c r="AA54" s="142">
        <f t="shared" si="65"/>
        <v>0.48</v>
      </c>
      <c r="AB54" s="143" t="str">
        <f>IFERROR(IF(AA54="","",IF(AA54&lt;=0.2,"Muy Baja",IF(AA54&lt;=0.4,"Baja",IF(AA54&lt;=0.6,"Media",IF(AA54&lt;=0.8,"Alta","Muy Alta"))))),"")</f>
        <v>Media</v>
      </c>
      <c r="AC54" s="144">
        <f t="shared" si="55"/>
        <v>0.48</v>
      </c>
      <c r="AD54" s="143" t="str">
        <f t="shared" si="63"/>
        <v>Moderado</v>
      </c>
      <c r="AE54" s="144">
        <f t="shared" si="57"/>
        <v>0.6</v>
      </c>
      <c r="AF54" s="145" t="str">
        <f t="shared" ref="AF54:AF56" si="67">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Moderado</v>
      </c>
      <c r="AG54" s="146" t="s">
        <v>31</v>
      </c>
      <c r="AH54" s="147"/>
      <c r="AI54" s="148"/>
      <c r="AJ54" s="149"/>
      <c r="AK54" s="149"/>
      <c r="AL54" s="147"/>
      <c r="AM54" s="150"/>
    </row>
    <row r="55" spans="2:39" ht="77.25" x14ac:dyDescent="0.25">
      <c r="B55" s="208"/>
      <c r="C55" s="289"/>
      <c r="D55" s="291"/>
      <c r="E55" s="293"/>
      <c r="F55" s="293"/>
      <c r="G55" s="307"/>
      <c r="H55" s="291"/>
      <c r="I55" s="297"/>
      <c r="J55" s="281"/>
      <c r="K55" s="279"/>
      <c r="L55" s="277"/>
      <c r="M55" s="279">
        <f>IF(NOT(ISERROR(MATCH(L55,_xlfn.ANCHORARRAY(#REF!),0))),#REF!&amp;"Por favor no seleccionar los criterios de impacto",L55)</f>
        <v>0</v>
      </c>
      <c r="N55" s="281"/>
      <c r="O55" s="279"/>
      <c r="P55" s="283"/>
      <c r="Q55" s="137">
        <v>2</v>
      </c>
      <c r="R55" s="156" t="s">
        <v>330</v>
      </c>
      <c r="S55" s="138" t="s">
        <v>334</v>
      </c>
      <c r="T55" s="139" t="str">
        <f t="shared" si="52"/>
        <v>Probabilidad</v>
      </c>
      <c r="U55" s="140" t="s">
        <v>14</v>
      </c>
      <c r="V55" s="140" t="s">
        <v>9</v>
      </c>
      <c r="W55" s="141" t="str">
        <f t="shared" si="53"/>
        <v>40%</v>
      </c>
      <c r="X55" s="140" t="s">
        <v>19</v>
      </c>
      <c r="Y55" s="140" t="s">
        <v>22</v>
      </c>
      <c r="Z55" s="140" t="s">
        <v>119</v>
      </c>
      <c r="AA55" s="142">
        <f t="shared" si="65"/>
        <v>0</v>
      </c>
      <c r="AB55" s="143" t="s">
        <v>107</v>
      </c>
      <c r="AC55" s="144">
        <f t="shared" si="55"/>
        <v>0</v>
      </c>
      <c r="AD55" s="143" t="str">
        <f t="shared" si="63"/>
        <v>Leve</v>
      </c>
      <c r="AE55" s="144">
        <f t="shared" si="57"/>
        <v>0</v>
      </c>
      <c r="AF55" s="145" t="str">
        <f t="shared" si="67"/>
        <v>Moderado</v>
      </c>
      <c r="AG55" s="146" t="s">
        <v>31</v>
      </c>
      <c r="AH55" s="147"/>
      <c r="AI55" s="148"/>
      <c r="AJ55" s="149"/>
      <c r="AK55" s="149"/>
      <c r="AL55" s="147"/>
      <c r="AM55" s="150"/>
    </row>
    <row r="56" spans="2:39" ht="135.75" thickBot="1" x14ac:dyDescent="0.3">
      <c r="B56" s="209"/>
      <c r="C56" s="289"/>
      <c r="D56" s="291"/>
      <c r="E56" s="293"/>
      <c r="F56" s="293"/>
      <c r="G56" s="307"/>
      <c r="H56" s="291"/>
      <c r="I56" s="297"/>
      <c r="J56" s="281"/>
      <c r="K56" s="279"/>
      <c r="L56" s="277"/>
      <c r="M56" s="279">
        <f>IF(NOT(ISERROR(MATCH(L56,_xlfn.ANCHORARRAY(#REF!),0))),#REF!&amp;"Por favor no seleccionar los criterios de impacto",L56)</f>
        <v>0</v>
      </c>
      <c r="N56" s="281"/>
      <c r="O56" s="279"/>
      <c r="P56" s="283"/>
      <c r="Q56" s="137">
        <v>3</v>
      </c>
      <c r="R56" s="156" t="s">
        <v>330</v>
      </c>
      <c r="S56" s="138" t="s">
        <v>339</v>
      </c>
      <c r="T56" s="139" t="str">
        <f t="shared" si="52"/>
        <v>Probabilidad</v>
      </c>
      <c r="U56" s="140" t="s">
        <v>14</v>
      </c>
      <c r="V56" s="140" t="s">
        <v>9</v>
      </c>
      <c r="W56" s="141" t="str">
        <f t="shared" si="53"/>
        <v>40%</v>
      </c>
      <c r="X56" s="140" t="s">
        <v>19</v>
      </c>
      <c r="Y56" s="140" t="s">
        <v>22</v>
      </c>
      <c r="Z56" s="140" t="s">
        <v>119</v>
      </c>
      <c r="AA56" s="142">
        <f t="shared" si="65"/>
        <v>0</v>
      </c>
      <c r="AB56" s="143" t="s">
        <v>107</v>
      </c>
      <c r="AC56" s="144">
        <f t="shared" si="55"/>
        <v>0</v>
      </c>
      <c r="AD56" s="143" t="str">
        <f t="shared" si="63"/>
        <v>Leve</v>
      </c>
      <c r="AE56" s="144">
        <f t="shared" si="57"/>
        <v>0</v>
      </c>
      <c r="AF56" s="145" t="str">
        <f t="shared" si="67"/>
        <v>Moderado</v>
      </c>
      <c r="AG56" s="154" t="s">
        <v>31</v>
      </c>
      <c r="AH56" s="147"/>
      <c r="AI56" s="148"/>
      <c r="AJ56" s="149"/>
      <c r="AK56" s="149"/>
      <c r="AL56" s="147"/>
      <c r="AM56" s="150"/>
    </row>
    <row r="57" spans="2:39" ht="153.75" customHeight="1" x14ac:dyDescent="0.25">
      <c r="B57" s="210" t="s">
        <v>503</v>
      </c>
      <c r="C57" s="288">
        <v>24</v>
      </c>
      <c r="D57" s="290" t="s">
        <v>132</v>
      </c>
      <c r="E57" s="300" t="s">
        <v>340</v>
      </c>
      <c r="F57" s="292" t="s">
        <v>341</v>
      </c>
      <c r="G57" s="294" t="s">
        <v>342</v>
      </c>
      <c r="H57" s="290" t="s">
        <v>128</v>
      </c>
      <c r="I57" s="296">
        <v>348</v>
      </c>
      <c r="J57" s="280" t="str">
        <f>IF(I57&lt;=0,"",IF(I57&lt;=2,"Muy Baja",IF(I57&lt;=24,"Baja",IF(I57&lt;=500,"Media",IF(I57&lt;=5000,"Alta","Muy Alta")))))</f>
        <v>Media</v>
      </c>
      <c r="K57" s="278">
        <f>IF(J57="","",IF(J57="Muy Baja",0.2,IF(J57="Baja",0.4,IF(J57="Media",0.6,IF(J57="Alta",0.8,IF(J57="Muy Alta",1,))))))</f>
        <v>0.6</v>
      </c>
      <c r="L57" s="276" t="s">
        <v>147</v>
      </c>
      <c r="M57" s="278" t="str">
        <f>IF(NOT(ISERROR(MATCH(L57,'Tabla Impacto'!$B$221:$B$223,0))),'Tabla Impacto'!$F$223&amp;"Por favor no seleccionar los criterios de impacto(Afectación Económica o presupuestal y Pérdida Reputacional)",L57)</f>
        <v xml:space="preserve">     Entre 10 y 50 SMLMV </v>
      </c>
      <c r="N57" s="280" t="str">
        <f>IF(OR(M57='Tabla Impacto'!$C$11,M57='Tabla Impacto'!$D$11),"Leve",IF(OR(M57='Tabla Impacto'!$C$12,M57='Tabla Impacto'!$D$12),"Menor",IF(OR(M57='Tabla Impacto'!$C$13,M57='Tabla Impacto'!$D$13),"Moderado",IF(OR(M57='Tabla Impacto'!$C$14,M57='Tabla Impacto'!$D$14),"Mayor",IF(OR(M57='Tabla Impacto'!$C$15,M57='Tabla Impacto'!$D$15),"Catastrófico","")))))</f>
        <v>Menor</v>
      </c>
      <c r="O57" s="278">
        <f>IF(N57="","",IF(N57="Leve",0.2,IF(N57="Menor",0.4,IF(N57="Moderado",0.6,IF(N57="Mayor",0.8,IF(N57="Catastrófico",1,))))))</f>
        <v>0.4</v>
      </c>
      <c r="P57" s="282" t="str">
        <f>IF(OR(AND(J57="Muy Baja",N57="Leve"),AND(J57="Muy Baja",N57="Menor"),AND(J57="Baja",N57="Leve")),"Bajo",IF(OR(AND(J57="Muy baja",N57="Moderado"),AND(J57="Baja",N57="Menor"),AND(J57="Baja",N57="Moderado"),AND(J57="Media",N57="Leve"),AND(J57="Media",N57="Menor"),AND(J57="Media",N57="Moderado"),AND(J57="Alta",N57="Leve"),AND(J57="Alta",N57="Menor")),"Moderado",IF(OR(AND(J57="Muy Baja",N57="Mayor"),AND(J57="Baja",N57="Mayor"),AND(J57="Media",N57="Mayor"),AND(J57="Alta",N57="Moderado"),AND(J57="Alta",N57="Mayor"),AND(J57="Muy Alta",N57="Leve"),AND(J57="Muy Alta",N57="Menor"),AND(J57="Muy Alta",N57="Moderado"),AND(J57="Muy Alta",N57="Mayor")),"Alto",IF(OR(AND(J57="Muy Baja",N57="Catastrófico"),AND(J57="Baja",N57="Catastrófico"),AND(J57="Media",N57="Catastrófico"),AND(J57="Alta",N57="Catastrófico"),AND(J57="Muy Alta",N57="Catastrófico")),"Extremo",""))))</f>
        <v>Moderado</v>
      </c>
      <c r="Q57" s="137">
        <v>1</v>
      </c>
      <c r="R57" s="156" t="s">
        <v>343</v>
      </c>
      <c r="S57" s="138" t="s">
        <v>528</v>
      </c>
      <c r="T57" s="139" t="str">
        <f t="shared" si="52"/>
        <v>Probabilidad</v>
      </c>
      <c r="U57" s="140" t="s">
        <v>14</v>
      </c>
      <c r="V57" s="140" t="s">
        <v>9</v>
      </c>
      <c r="W57" s="141" t="str">
        <f t="shared" si="53"/>
        <v>40%</v>
      </c>
      <c r="X57" s="140" t="s">
        <v>19</v>
      </c>
      <c r="Y57" s="140" t="s">
        <v>22</v>
      </c>
      <c r="Z57" s="140" t="s">
        <v>119</v>
      </c>
      <c r="AA57" s="142">
        <f t="shared" si="65"/>
        <v>0.36</v>
      </c>
      <c r="AB57" s="143" t="str">
        <f>IFERROR(IF(AA57="","",IF(AA57&lt;=0.2,"Muy Baja",IF(AA57&lt;=0.4,"Baja",IF(AA57&lt;=0.6,"Media",IF(AA57&lt;=0.8,"Alta","Muy Alta"))))),"")</f>
        <v>Baja</v>
      </c>
      <c r="AC57" s="144">
        <f t="shared" si="55"/>
        <v>0.36</v>
      </c>
      <c r="AD57" s="143" t="str">
        <f t="shared" si="63"/>
        <v>Menor</v>
      </c>
      <c r="AE57" s="144">
        <f t="shared" si="57"/>
        <v>0.4</v>
      </c>
      <c r="AF57" s="145" t="str">
        <f t="shared" ref="AF57:AF59" si="68">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Moderado</v>
      </c>
      <c r="AG57" s="146" t="s">
        <v>31</v>
      </c>
      <c r="AH57" s="147"/>
      <c r="AI57" s="148"/>
      <c r="AJ57" s="149"/>
      <c r="AK57" s="149"/>
      <c r="AL57" s="147"/>
      <c r="AM57" s="150"/>
    </row>
    <row r="58" spans="2:39" ht="126.75" customHeight="1" x14ac:dyDescent="0.25">
      <c r="B58" s="211"/>
      <c r="C58" s="289"/>
      <c r="D58" s="291"/>
      <c r="E58" s="301"/>
      <c r="F58" s="293"/>
      <c r="G58" s="295"/>
      <c r="H58" s="291"/>
      <c r="I58" s="297"/>
      <c r="J58" s="281"/>
      <c r="K58" s="279"/>
      <c r="L58" s="277"/>
      <c r="M58" s="279">
        <f>IF(NOT(ISERROR(MATCH(L58,_xlfn.ANCHORARRAY(#REF!),0))),#REF!&amp;"Por favor no seleccionar los criterios de impacto",L58)</f>
        <v>0</v>
      </c>
      <c r="N58" s="281"/>
      <c r="O58" s="279"/>
      <c r="P58" s="283"/>
      <c r="Q58" s="137">
        <v>2</v>
      </c>
      <c r="R58" s="156" t="s">
        <v>343</v>
      </c>
      <c r="S58" s="165" t="s">
        <v>529</v>
      </c>
      <c r="T58" s="139" t="str">
        <f t="shared" si="52"/>
        <v>Impacto</v>
      </c>
      <c r="U58" s="140" t="s">
        <v>16</v>
      </c>
      <c r="V58" s="140" t="s">
        <v>9</v>
      </c>
      <c r="W58" s="141" t="str">
        <f t="shared" si="53"/>
        <v>25%</v>
      </c>
      <c r="X58" s="140" t="s">
        <v>19</v>
      </c>
      <c r="Y58" s="140" t="s">
        <v>22</v>
      </c>
      <c r="Z58" s="140" t="s">
        <v>119</v>
      </c>
      <c r="AA58" s="142">
        <f t="shared" si="65"/>
        <v>0</v>
      </c>
      <c r="AB58" s="143" t="s">
        <v>107</v>
      </c>
      <c r="AC58" s="144">
        <f t="shared" si="55"/>
        <v>0</v>
      </c>
      <c r="AD58" s="143" t="str">
        <f t="shared" ref="AD58:AD59" si="69">IFERROR(IF(AE58="","",IF(AE58&lt;=0.2,"Leve",IF(AE58&lt;=0.4,"Menor",IF(AE58&lt;=0.6,"Moderado",IF(AE58&lt;=0.8,"Mayor","Catastrófico"))))),"")</f>
        <v>Leve</v>
      </c>
      <c r="AE58" s="144">
        <f t="shared" si="57"/>
        <v>0</v>
      </c>
      <c r="AF58" s="145" t="str">
        <f t="shared" si="68"/>
        <v>Moderado</v>
      </c>
      <c r="AG58" s="146" t="s">
        <v>31</v>
      </c>
      <c r="AH58" s="147"/>
      <c r="AI58" s="148"/>
      <c r="AJ58" s="149"/>
      <c r="AK58" s="149"/>
      <c r="AL58" s="147"/>
      <c r="AM58" s="150"/>
    </row>
    <row r="59" spans="2:39" ht="173.25" customHeight="1" x14ac:dyDescent="0.25">
      <c r="B59" s="211"/>
      <c r="C59" s="289"/>
      <c r="D59" s="291"/>
      <c r="E59" s="302"/>
      <c r="F59" s="293"/>
      <c r="G59" s="303"/>
      <c r="H59" s="291"/>
      <c r="I59" s="297"/>
      <c r="J59" s="281"/>
      <c r="K59" s="279"/>
      <c r="L59" s="277"/>
      <c r="M59" s="279">
        <f>IF(NOT(ISERROR(MATCH(L59,_xlfn.ANCHORARRAY(#REF!),0))),#REF!&amp;"Por favor no seleccionar los criterios de impacto",L59)</f>
        <v>0</v>
      </c>
      <c r="N59" s="281"/>
      <c r="O59" s="279"/>
      <c r="P59" s="283"/>
      <c r="Q59" s="137">
        <v>3</v>
      </c>
      <c r="R59" s="156" t="s">
        <v>343</v>
      </c>
      <c r="S59" s="165" t="s">
        <v>530</v>
      </c>
      <c r="T59" s="139" t="str">
        <f t="shared" si="52"/>
        <v>Impacto</v>
      </c>
      <c r="U59" s="140" t="s">
        <v>16</v>
      </c>
      <c r="V59" s="140" t="s">
        <v>9</v>
      </c>
      <c r="W59" s="141" t="str">
        <f t="shared" si="53"/>
        <v>25%</v>
      </c>
      <c r="X59" s="140" t="s">
        <v>19</v>
      </c>
      <c r="Y59" s="140" t="s">
        <v>22</v>
      </c>
      <c r="Z59" s="140" t="s">
        <v>119</v>
      </c>
      <c r="AA59" s="142">
        <f t="shared" si="65"/>
        <v>0</v>
      </c>
      <c r="AB59" s="143" t="s">
        <v>107</v>
      </c>
      <c r="AC59" s="144">
        <f t="shared" si="55"/>
        <v>0</v>
      </c>
      <c r="AD59" s="143" t="str">
        <f t="shared" si="69"/>
        <v>Leve</v>
      </c>
      <c r="AE59" s="144">
        <f t="shared" si="57"/>
        <v>0</v>
      </c>
      <c r="AF59" s="145" t="str">
        <f t="shared" si="68"/>
        <v>Moderado</v>
      </c>
      <c r="AG59" s="154" t="s">
        <v>31</v>
      </c>
      <c r="AH59" s="147"/>
      <c r="AI59" s="148"/>
      <c r="AJ59" s="149"/>
      <c r="AK59" s="149"/>
      <c r="AL59" s="147"/>
      <c r="AM59" s="150"/>
    </row>
    <row r="60" spans="2:39" ht="409.5" x14ac:dyDescent="0.25">
      <c r="B60" s="211"/>
      <c r="C60" s="288">
        <v>25</v>
      </c>
      <c r="D60" s="290" t="s">
        <v>131</v>
      </c>
      <c r="E60" s="292" t="s">
        <v>344</v>
      </c>
      <c r="F60" s="292" t="s">
        <v>345</v>
      </c>
      <c r="G60" s="306" t="s">
        <v>346</v>
      </c>
      <c r="H60" s="290" t="s">
        <v>124</v>
      </c>
      <c r="I60" s="296">
        <v>1466</v>
      </c>
      <c r="J60" s="280" t="str">
        <f>IF(I60&lt;=0,"",IF(I60&lt;=2,"Muy Baja",IF(I60&lt;=24,"Baja",IF(I60&lt;=500,"Media",IF(I60&lt;=5000,"Alta","Muy Alta")))))</f>
        <v>Alta</v>
      </c>
      <c r="K60" s="278">
        <f>IF(J60="","",IF(J60="Muy Baja",0.2,IF(J60="Baja",0.4,IF(J60="Media",0.6,IF(J60="Alta",0.8,IF(J60="Muy Alta",1,))))))</f>
        <v>0.8</v>
      </c>
      <c r="L60" s="276" t="s">
        <v>154</v>
      </c>
      <c r="M60" s="278" t="str">
        <f>IF(NOT(ISERROR(MATCH(L60,'Tabla Impacto'!$B$221:$B$223,0))),'Tabla Impacto'!$F$223&amp;"Por favor no seleccionar los criterios de impacto(Afectación Económica o presupuestal y Pérdida Reputacional)",L60)</f>
        <v xml:space="preserve">     El riesgo afecta la imagen de la entidad a nivel nacional, con efecto publicitarios sostenible a nivel país</v>
      </c>
      <c r="N60" s="280" t="str">
        <f>IF(OR(M60='Tabla Impacto'!$C$11,M60='Tabla Impacto'!$D$11),"Leve",IF(OR(M60='Tabla Impacto'!$C$12,M60='Tabla Impacto'!$D$12),"Menor",IF(OR(M60='Tabla Impacto'!$C$13,M60='Tabla Impacto'!$D$13),"Moderado",IF(OR(M60='Tabla Impacto'!$C$14,M60='Tabla Impacto'!$D$14),"Mayor",IF(OR(M60='Tabla Impacto'!$C$15,M60='Tabla Impacto'!$D$15),"Catastrófico","")))))</f>
        <v>Catastrófico</v>
      </c>
      <c r="O60" s="278">
        <f>IF(N60="","",IF(N60="Leve",0.2,IF(N60="Menor",0.4,IF(N60="Moderado",0.6,IF(N60="Mayor",0.8,IF(N60="Catastrófico",1,))))))</f>
        <v>1</v>
      </c>
      <c r="P60" s="282" t="str">
        <f>IF(OR(AND(J60="Muy Baja",N60="Leve"),AND(J60="Muy Baja",N60="Menor"),AND(J60="Baja",N60="Leve")),"Bajo",IF(OR(AND(J60="Muy baja",N60="Moderado"),AND(J60="Baja",N60="Menor"),AND(J60="Baja",N60="Moderado"),AND(J60="Media",N60="Leve"),AND(J60="Media",N60="Menor"),AND(J60="Media",N60="Moderado"),AND(J60="Alta",N60="Leve"),AND(J60="Alta",N60="Menor")),"Moderado",IF(OR(AND(J60="Muy Baja",N60="Mayor"),AND(J60="Baja",N60="Mayor"),AND(J60="Media",N60="Mayor"),AND(J60="Alta",N60="Moderado"),AND(J60="Alta",N60="Mayor"),AND(J60="Muy Alta",N60="Leve"),AND(J60="Muy Alta",N60="Menor"),AND(J60="Muy Alta",N60="Moderado"),AND(J60="Muy Alta",N60="Mayor")),"Alto",IF(OR(AND(J60="Muy Baja",N60="Catastrófico"),AND(J60="Baja",N60="Catastrófico"),AND(J60="Media",N60="Catastrófico"),AND(J60="Alta",N60="Catastrófico"),AND(J60="Muy Alta",N60="Catastrófico")),"Extremo",""))))</f>
        <v>Extremo</v>
      </c>
      <c r="Q60" s="137">
        <v>1</v>
      </c>
      <c r="R60" s="156" t="s">
        <v>343</v>
      </c>
      <c r="S60" s="138" t="s">
        <v>531</v>
      </c>
      <c r="T60" s="139" t="str">
        <f t="shared" si="52"/>
        <v>Probabilidad</v>
      </c>
      <c r="U60" s="140" t="s">
        <v>14</v>
      </c>
      <c r="V60" s="140" t="s">
        <v>9</v>
      </c>
      <c r="W60" s="141" t="str">
        <f t="shared" si="53"/>
        <v>40%</v>
      </c>
      <c r="X60" s="140" t="s">
        <v>19</v>
      </c>
      <c r="Y60" s="140" t="s">
        <v>22</v>
      </c>
      <c r="Z60" s="140" t="s">
        <v>119</v>
      </c>
      <c r="AA60" s="142">
        <f t="shared" si="65"/>
        <v>0.48</v>
      </c>
      <c r="AB60" s="143" t="str">
        <f>IFERROR(IF(AA60="","",IF(AA60&lt;=0.2,"Muy Baja",IF(AA60&lt;=0.4,"Baja",IF(AA60&lt;=0.6,"Media",IF(AA60&lt;=0.8,"Alta","Muy Alta"))))),"")</f>
        <v>Media</v>
      </c>
      <c r="AC60" s="144">
        <f t="shared" si="55"/>
        <v>0.48</v>
      </c>
      <c r="AD60" s="143" t="str">
        <f t="shared" ref="AD60:AD73" si="70">IFERROR(IF(AE60="","",IF(AE60&lt;=0.2,"Leve",IF(AE60&lt;=0.4,"Menor",IF(AE60&lt;=0.6,"Moderado",IF(AE60&lt;=0.8,"Mayor","Catastrófico"))))),"")</f>
        <v>Catastrófico</v>
      </c>
      <c r="AE60" s="144">
        <f t="shared" si="57"/>
        <v>1</v>
      </c>
      <c r="AF60" s="145" t="str">
        <f t="shared" ref="AF60:AF62" si="71">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Extremo</v>
      </c>
      <c r="AG60" s="146" t="s">
        <v>135</v>
      </c>
      <c r="AH60" s="147" t="s">
        <v>348</v>
      </c>
      <c r="AI60" s="148" t="s">
        <v>349</v>
      </c>
      <c r="AJ60" s="149">
        <v>45644</v>
      </c>
      <c r="AK60" s="164" t="s">
        <v>350</v>
      </c>
      <c r="AL60" s="147" t="s">
        <v>351</v>
      </c>
      <c r="AM60" s="150"/>
    </row>
    <row r="61" spans="2:39" ht="175.5" x14ac:dyDescent="0.25">
      <c r="B61" s="211"/>
      <c r="C61" s="289"/>
      <c r="D61" s="291"/>
      <c r="E61" s="293"/>
      <c r="F61" s="293"/>
      <c r="G61" s="307"/>
      <c r="H61" s="291"/>
      <c r="I61" s="297"/>
      <c r="J61" s="281"/>
      <c r="K61" s="279"/>
      <c r="L61" s="277"/>
      <c r="M61" s="279">
        <f>IF(NOT(ISERROR(MATCH(L61,_xlfn.ANCHORARRAY(#REF!),0))),#REF!&amp;"Por favor no seleccionar los criterios de impacto",L61)</f>
        <v>0</v>
      </c>
      <c r="N61" s="281"/>
      <c r="O61" s="279"/>
      <c r="P61" s="283"/>
      <c r="Q61" s="137">
        <v>2</v>
      </c>
      <c r="R61" s="156" t="s">
        <v>343</v>
      </c>
      <c r="S61" s="138" t="s">
        <v>532</v>
      </c>
      <c r="T61" s="139" t="str">
        <f t="shared" si="52"/>
        <v>Probabilidad</v>
      </c>
      <c r="U61" s="140" t="s">
        <v>14</v>
      </c>
      <c r="V61" s="140" t="s">
        <v>9</v>
      </c>
      <c r="W61" s="141" t="str">
        <f t="shared" si="53"/>
        <v>40%</v>
      </c>
      <c r="X61" s="140" t="s">
        <v>19</v>
      </c>
      <c r="Y61" s="140" t="s">
        <v>22</v>
      </c>
      <c r="Z61" s="140" t="s">
        <v>119</v>
      </c>
      <c r="AA61" s="142">
        <f t="shared" si="65"/>
        <v>0</v>
      </c>
      <c r="AB61" s="143" t="s">
        <v>53</v>
      </c>
      <c r="AC61" s="144">
        <f t="shared" si="55"/>
        <v>0</v>
      </c>
      <c r="AD61" s="143" t="str">
        <f t="shared" si="70"/>
        <v>Leve</v>
      </c>
      <c r="AE61" s="144">
        <f t="shared" si="57"/>
        <v>0</v>
      </c>
      <c r="AF61" s="145" t="str">
        <f t="shared" si="71"/>
        <v>Bajo</v>
      </c>
      <c r="AG61" s="146" t="s">
        <v>31</v>
      </c>
      <c r="AH61" s="147"/>
      <c r="AI61" s="148"/>
      <c r="AJ61" s="149"/>
      <c r="AK61" s="149"/>
      <c r="AL61" s="147"/>
      <c r="AM61" s="150"/>
    </row>
    <row r="62" spans="2:39" ht="77.25" x14ac:dyDescent="0.25">
      <c r="B62" s="211"/>
      <c r="C62" s="289"/>
      <c r="D62" s="291"/>
      <c r="E62" s="293"/>
      <c r="F62" s="293"/>
      <c r="G62" s="307"/>
      <c r="H62" s="291"/>
      <c r="I62" s="297"/>
      <c r="J62" s="281"/>
      <c r="K62" s="279"/>
      <c r="L62" s="277"/>
      <c r="M62" s="279">
        <f>IF(NOT(ISERROR(MATCH(L62,_xlfn.ANCHORARRAY(#REF!),0))),#REF!&amp;"Por favor no seleccionar los criterios de impacto",L62)</f>
        <v>0</v>
      </c>
      <c r="N62" s="281"/>
      <c r="O62" s="279"/>
      <c r="P62" s="283"/>
      <c r="Q62" s="137">
        <v>3</v>
      </c>
      <c r="R62" s="156" t="s">
        <v>343</v>
      </c>
      <c r="S62" s="138" t="s">
        <v>347</v>
      </c>
      <c r="T62" s="139" t="str">
        <f t="shared" si="52"/>
        <v>Probabilidad</v>
      </c>
      <c r="U62" s="140" t="s">
        <v>14</v>
      </c>
      <c r="V62" s="140" t="s">
        <v>9</v>
      </c>
      <c r="W62" s="141" t="str">
        <f t="shared" si="53"/>
        <v>40%</v>
      </c>
      <c r="X62" s="140" t="s">
        <v>19</v>
      </c>
      <c r="Y62" s="140" t="s">
        <v>22</v>
      </c>
      <c r="Z62" s="140" t="s">
        <v>119</v>
      </c>
      <c r="AA62" s="142">
        <f t="shared" si="65"/>
        <v>0</v>
      </c>
      <c r="AB62" s="143" t="s">
        <v>53</v>
      </c>
      <c r="AC62" s="144">
        <f t="shared" si="55"/>
        <v>0</v>
      </c>
      <c r="AD62" s="143" t="str">
        <f t="shared" si="70"/>
        <v>Leve</v>
      </c>
      <c r="AE62" s="144">
        <f t="shared" si="57"/>
        <v>0</v>
      </c>
      <c r="AF62" s="145" t="str">
        <f t="shared" si="71"/>
        <v>Bajo</v>
      </c>
      <c r="AG62" s="154" t="s">
        <v>31</v>
      </c>
      <c r="AH62" s="147"/>
      <c r="AI62" s="148"/>
      <c r="AJ62" s="149"/>
      <c r="AK62" s="149"/>
      <c r="AL62" s="147"/>
      <c r="AM62" s="150"/>
    </row>
    <row r="63" spans="2:39" ht="126" customHeight="1" x14ac:dyDescent="0.25">
      <c r="B63" s="212" t="s">
        <v>504</v>
      </c>
      <c r="C63" s="288">
        <v>26</v>
      </c>
      <c r="D63" s="290" t="s">
        <v>132</v>
      </c>
      <c r="E63" s="300" t="s">
        <v>352</v>
      </c>
      <c r="F63" s="292" t="s">
        <v>355</v>
      </c>
      <c r="G63" s="294" t="s">
        <v>358</v>
      </c>
      <c r="H63" s="290" t="s">
        <v>129</v>
      </c>
      <c r="I63" s="296">
        <v>216</v>
      </c>
      <c r="J63" s="280" t="str">
        <f>IF(I63&lt;=0,"",IF(I63&lt;=2,"Muy Baja",IF(I63&lt;=24,"Baja",IF(I63&lt;=500,"Media",IF(I63&lt;=5000,"Alta","Muy Alta")))))</f>
        <v>Media</v>
      </c>
      <c r="K63" s="278">
        <f>IF(J63="","",IF(J63="Muy Baja",0.2,IF(J63="Baja",0.4,IF(J63="Media",0.6,IF(J63="Alta",0.8,IF(J63="Muy Alta",1,))))))</f>
        <v>0.6</v>
      </c>
      <c r="L63" s="276" t="s">
        <v>143</v>
      </c>
      <c r="M63" s="278" t="str">
        <f>IF(NOT(ISERROR(MATCH(L63,'Tabla Impacto'!$B$221:$B$223,0))),'Tabla Impacto'!$F$223&amp;"Por favor no seleccionar los criterios de impacto(Afectación Económica o presupuestal y Pérdida Reputacional)",L63)</f>
        <v xml:space="preserve">     Afectación menor a 10 SMLMV .</v>
      </c>
      <c r="N63" s="280" t="str">
        <f>IF(OR(M63='Tabla Impacto'!$C$11,M63='Tabla Impacto'!$D$11),"Leve",IF(OR(M63='Tabla Impacto'!$C$12,M63='Tabla Impacto'!$D$12),"Menor",IF(OR(M63='Tabla Impacto'!$C$13,M63='Tabla Impacto'!$D$13),"Moderado",IF(OR(M63='Tabla Impacto'!$C$14,M63='Tabla Impacto'!$D$14),"Mayor",IF(OR(M63='Tabla Impacto'!$C$15,M63='Tabla Impacto'!$D$15),"Catastrófico","")))))</f>
        <v>Leve</v>
      </c>
      <c r="O63" s="278">
        <f>IF(N63="","",IF(N63="Leve",0.2,IF(N63="Menor",0.4,IF(N63="Moderado",0.6,IF(N63="Mayor",0.8,IF(N63="Catastrófico",1,))))))</f>
        <v>0.2</v>
      </c>
      <c r="P63" s="282" t="str">
        <f>IF(OR(AND(J63="Muy Baja",N63="Leve"),AND(J63="Muy Baja",N63="Menor"),AND(J63="Baja",N63="Leve")),"Bajo",IF(OR(AND(J63="Muy baja",N63="Moderado"),AND(J63="Baja",N63="Menor"),AND(J63="Baja",N63="Moderado"),AND(J63="Media",N63="Leve"),AND(J63="Media",N63="Menor"),AND(J63="Media",N63="Moderado"),AND(J63="Alta",N63="Leve"),AND(J63="Alta",N63="Menor")),"Moderado",IF(OR(AND(J63="Muy Baja",N63="Mayor"),AND(J63="Baja",N63="Mayor"),AND(J63="Media",N63="Mayor"),AND(J63="Alta",N63="Moderado"),AND(J63="Alta",N63="Mayor"),AND(J63="Muy Alta",N63="Leve"),AND(J63="Muy Alta",N63="Menor"),AND(J63="Muy Alta",N63="Moderado"),AND(J63="Muy Alta",N63="Mayor")),"Alto",IF(OR(AND(J63="Muy Baja",N63="Catastrófico"),AND(J63="Baja",N63="Catastrófico"),AND(J63="Media",N63="Catastrófico"),AND(J63="Alta",N63="Catastrófico"),AND(J63="Muy Alta",N63="Catastrófico")),"Extremo",""))))</f>
        <v>Moderado</v>
      </c>
      <c r="Q63" s="137">
        <v>1</v>
      </c>
      <c r="R63" s="156" t="s">
        <v>361</v>
      </c>
      <c r="S63" s="138" t="s">
        <v>362</v>
      </c>
      <c r="T63" s="139" t="str">
        <f t="shared" si="52"/>
        <v>Probabilidad</v>
      </c>
      <c r="U63" s="140" t="s">
        <v>14</v>
      </c>
      <c r="V63" s="140" t="s">
        <v>9</v>
      </c>
      <c r="W63" s="141" t="str">
        <f t="shared" si="53"/>
        <v>40%</v>
      </c>
      <c r="X63" s="140" t="s">
        <v>19</v>
      </c>
      <c r="Y63" s="140" t="s">
        <v>22</v>
      </c>
      <c r="Z63" s="140" t="s">
        <v>119</v>
      </c>
      <c r="AA63" s="142">
        <f t="shared" si="65"/>
        <v>0.36</v>
      </c>
      <c r="AB63" s="143" t="str">
        <f>IFERROR(IF(AA63="","",IF(AA63&lt;=0.2,"Muy Baja",IF(AA63&lt;=0.4,"Baja",IF(AA63&lt;=0.6,"Media",IF(AA63&lt;=0.8,"Alta","Muy Alta"))))),"")</f>
        <v>Baja</v>
      </c>
      <c r="AC63" s="144">
        <f t="shared" si="55"/>
        <v>0.36</v>
      </c>
      <c r="AD63" s="143" t="str">
        <f t="shared" si="70"/>
        <v>Leve</v>
      </c>
      <c r="AE63" s="144">
        <f t="shared" si="57"/>
        <v>0.2</v>
      </c>
      <c r="AF63" s="145" t="str">
        <f t="shared" ref="AF63:AF64" si="72">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Bajo</v>
      </c>
      <c r="AG63" s="146" t="s">
        <v>31</v>
      </c>
      <c r="AH63" s="147"/>
      <c r="AI63" s="148"/>
      <c r="AJ63" s="149"/>
      <c r="AK63" s="149"/>
      <c r="AL63" s="147"/>
      <c r="AM63" s="150"/>
    </row>
    <row r="64" spans="2:39" ht="175.5" x14ac:dyDescent="0.25">
      <c r="B64" s="213"/>
      <c r="C64" s="289"/>
      <c r="D64" s="291"/>
      <c r="E64" s="301"/>
      <c r="F64" s="293"/>
      <c r="G64" s="295"/>
      <c r="H64" s="291"/>
      <c r="I64" s="297"/>
      <c r="J64" s="281"/>
      <c r="K64" s="279"/>
      <c r="L64" s="277"/>
      <c r="M64" s="279">
        <f>IF(NOT(ISERROR(MATCH(L64,_xlfn.ANCHORARRAY(#REF!),0))),#REF!&amp;"Por favor no seleccionar los criterios de impacto",L64)</f>
        <v>0</v>
      </c>
      <c r="N64" s="281"/>
      <c r="O64" s="279"/>
      <c r="P64" s="283"/>
      <c r="Q64" s="137">
        <v>2</v>
      </c>
      <c r="R64" s="156" t="s">
        <v>361</v>
      </c>
      <c r="S64" s="138" t="s">
        <v>363</v>
      </c>
      <c r="T64" s="139" t="str">
        <f t="shared" si="52"/>
        <v>Probabilidad</v>
      </c>
      <c r="U64" s="140" t="s">
        <v>15</v>
      </c>
      <c r="V64" s="140" t="s">
        <v>9</v>
      </c>
      <c r="W64" s="141" t="str">
        <f t="shared" si="53"/>
        <v>30%</v>
      </c>
      <c r="X64" s="140" t="s">
        <v>19</v>
      </c>
      <c r="Y64" s="140" t="s">
        <v>22</v>
      </c>
      <c r="Z64" s="140" t="s">
        <v>119</v>
      </c>
      <c r="AA64" s="142">
        <f t="shared" si="65"/>
        <v>0</v>
      </c>
      <c r="AB64" s="143" t="s">
        <v>53</v>
      </c>
      <c r="AC64" s="144">
        <f t="shared" si="55"/>
        <v>0</v>
      </c>
      <c r="AD64" s="143" t="str">
        <f t="shared" si="70"/>
        <v>Leve</v>
      </c>
      <c r="AE64" s="144">
        <f t="shared" si="57"/>
        <v>0</v>
      </c>
      <c r="AF64" s="145" t="str">
        <f t="shared" si="72"/>
        <v>Bajo</v>
      </c>
      <c r="AG64" s="146" t="s">
        <v>32</v>
      </c>
      <c r="AH64" s="147"/>
      <c r="AI64" s="148"/>
      <c r="AJ64" s="149"/>
      <c r="AK64" s="149"/>
      <c r="AL64" s="147"/>
      <c r="AM64" s="150"/>
    </row>
    <row r="65" spans="1:39" ht="123" customHeight="1" x14ac:dyDescent="0.25">
      <c r="B65" s="213"/>
      <c r="C65" s="288">
        <v>27</v>
      </c>
      <c r="D65" s="290" t="s">
        <v>131</v>
      </c>
      <c r="E65" s="292" t="s">
        <v>353</v>
      </c>
      <c r="F65" s="292" t="s">
        <v>356</v>
      </c>
      <c r="G65" s="294" t="s">
        <v>359</v>
      </c>
      <c r="H65" s="290" t="s">
        <v>123</v>
      </c>
      <c r="I65" s="296">
        <v>1080</v>
      </c>
      <c r="J65" s="280" t="str">
        <f>IF(I65&lt;=0,"",IF(I65&lt;=2,"Muy Baja",IF(I65&lt;=24,"Baja",IF(I65&lt;=500,"Media",IF(I65&lt;=5000,"Alta","Muy Alta")))))</f>
        <v>Alta</v>
      </c>
      <c r="K65" s="278">
        <f>IF(J65="","",IF(J65="Muy Baja",0.2,IF(J65="Baja",0.4,IF(J65="Media",0.6,IF(J65="Alta",0.8,IF(J65="Muy Alta",1,))))))</f>
        <v>0.8</v>
      </c>
      <c r="L65" s="276" t="s">
        <v>154</v>
      </c>
      <c r="M65" s="278" t="str">
        <f>IF(NOT(ISERROR(MATCH(L65,'Tabla Impacto'!$B$221:$B$223,0))),'Tabla Impacto'!$F$223&amp;"Por favor no seleccionar los criterios de impacto(Afectación Económica o presupuestal y Pérdida Reputacional)",L65)</f>
        <v xml:space="preserve">     El riesgo afecta la imagen de la entidad a nivel nacional, con efecto publicitarios sostenible a nivel país</v>
      </c>
      <c r="N65" s="280" t="str">
        <f>IF(OR(M65='Tabla Impacto'!$C$11,M65='Tabla Impacto'!$D$11),"Leve",IF(OR(M65='Tabla Impacto'!$C$12,M65='Tabla Impacto'!$D$12),"Menor",IF(OR(M65='Tabla Impacto'!$C$13,M65='Tabla Impacto'!$D$13),"Moderado",IF(OR(M65='Tabla Impacto'!$C$14,M65='Tabla Impacto'!$D$14),"Mayor",IF(OR(M65='Tabla Impacto'!$C$15,M65='Tabla Impacto'!$D$15),"Catastrófico","")))))</f>
        <v>Catastrófico</v>
      </c>
      <c r="O65" s="278">
        <f>IF(N65="","",IF(N65="Leve",0.2,IF(N65="Menor",0.4,IF(N65="Moderado",0.6,IF(N65="Mayor",0.8,IF(N65="Catastrófico",1,))))))</f>
        <v>1</v>
      </c>
      <c r="P65" s="282" t="str">
        <f>IF(OR(AND(J65="Muy Baja",N65="Leve"),AND(J65="Muy Baja",N65="Menor"),AND(J65="Baja",N65="Leve")),"Bajo",IF(OR(AND(J65="Muy baja",N65="Moderado"),AND(J65="Baja",N65="Menor"),AND(J65="Baja",N65="Moderado"),AND(J65="Media",N65="Leve"),AND(J65="Media",N65="Menor"),AND(J65="Media",N65="Moderado"),AND(J65="Alta",N65="Leve"),AND(J65="Alta",N65="Menor")),"Moderado",IF(OR(AND(J65="Muy Baja",N65="Mayor"),AND(J65="Baja",N65="Mayor"),AND(J65="Media",N65="Mayor"),AND(J65="Alta",N65="Moderado"),AND(J65="Alta",N65="Mayor"),AND(J65="Muy Alta",N65="Leve"),AND(J65="Muy Alta",N65="Menor"),AND(J65="Muy Alta",N65="Moderado"),AND(J65="Muy Alta",N65="Mayor")),"Alto",IF(OR(AND(J65="Muy Baja",N65="Catastrófico"),AND(J65="Baja",N65="Catastrófico"),AND(J65="Media",N65="Catastrófico"),AND(J65="Alta",N65="Catastrófico"),AND(J65="Muy Alta",N65="Catastrófico")),"Extremo",""))))</f>
        <v>Extremo</v>
      </c>
      <c r="Q65" s="137">
        <v>1</v>
      </c>
      <c r="R65" s="156" t="s">
        <v>361</v>
      </c>
      <c r="S65" s="138" t="s">
        <v>363</v>
      </c>
      <c r="T65" s="139" t="str">
        <f t="shared" si="52"/>
        <v>Probabilidad</v>
      </c>
      <c r="U65" s="140" t="s">
        <v>15</v>
      </c>
      <c r="V65" s="140" t="s">
        <v>9</v>
      </c>
      <c r="W65" s="141" t="str">
        <f t="shared" si="53"/>
        <v>30%</v>
      </c>
      <c r="X65" s="140" t="s">
        <v>20</v>
      </c>
      <c r="Y65" s="140" t="s">
        <v>23</v>
      </c>
      <c r="Z65" s="140" t="s">
        <v>119</v>
      </c>
      <c r="AA65" s="142">
        <f t="shared" si="65"/>
        <v>0.56000000000000005</v>
      </c>
      <c r="AB65" s="143" t="str">
        <f>IFERROR(IF(AA65="","",IF(AA65&lt;=0.2,"Muy Baja",IF(AA65&lt;=0.4,"Baja",IF(AA65&lt;=0.6,"Media",IF(AA65&lt;=0.8,"Alta","Muy Alta"))))),"")</f>
        <v>Media</v>
      </c>
      <c r="AC65" s="144">
        <f t="shared" si="55"/>
        <v>0.56000000000000005</v>
      </c>
      <c r="AD65" s="143" t="str">
        <f t="shared" si="70"/>
        <v>Catastrófico</v>
      </c>
      <c r="AE65" s="144">
        <f t="shared" si="57"/>
        <v>1</v>
      </c>
      <c r="AF65" s="145" t="str">
        <f t="shared" ref="AF65:AF66" si="73">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Extremo</v>
      </c>
      <c r="AG65" s="146" t="s">
        <v>135</v>
      </c>
      <c r="AH65" s="147" t="s">
        <v>364</v>
      </c>
      <c r="AI65" s="147" t="s">
        <v>365</v>
      </c>
      <c r="AJ65" s="149">
        <v>45304</v>
      </c>
      <c r="AK65" s="149">
        <v>45640</v>
      </c>
      <c r="AL65" s="147"/>
      <c r="AM65" s="150" t="s">
        <v>41</v>
      </c>
    </row>
    <row r="66" spans="1:39" ht="108" x14ac:dyDescent="0.25">
      <c r="B66" s="213"/>
      <c r="C66" s="289"/>
      <c r="D66" s="291"/>
      <c r="E66" s="293"/>
      <c r="F66" s="293"/>
      <c r="G66" s="295"/>
      <c r="H66" s="291"/>
      <c r="I66" s="297"/>
      <c r="J66" s="281"/>
      <c r="K66" s="279"/>
      <c r="L66" s="277"/>
      <c r="M66" s="279">
        <f>IF(NOT(ISERROR(MATCH(L66,_xlfn.ANCHORARRAY(#REF!),0))),#REF!&amp;"Por favor no seleccionar los criterios de impacto",L66)</f>
        <v>0</v>
      </c>
      <c r="N66" s="281"/>
      <c r="O66" s="279"/>
      <c r="P66" s="283"/>
      <c r="Q66" s="137">
        <v>2</v>
      </c>
      <c r="R66" s="156" t="s">
        <v>361</v>
      </c>
      <c r="S66" s="138" t="s">
        <v>543</v>
      </c>
      <c r="T66" s="139" t="str">
        <f t="shared" si="52"/>
        <v>Impacto</v>
      </c>
      <c r="U66" s="140" t="s">
        <v>16</v>
      </c>
      <c r="V66" s="140" t="s">
        <v>9</v>
      </c>
      <c r="W66" s="141" t="str">
        <f t="shared" si="53"/>
        <v>25%</v>
      </c>
      <c r="X66" s="140" t="s">
        <v>20</v>
      </c>
      <c r="Y66" s="140" t="s">
        <v>22</v>
      </c>
      <c r="Z66" s="140" t="s">
        <v>120</v>
      </c>
      <c r="AA66" s="142">
        <f t="shared" si="65"/>
        <v>0</v>
      </c>
      <c r="AB66" s="143" t="s">
        <v>107</v>
      </c>
      <c r="AC66" s="144">
        <f t="shared" si="55"/>
        <v>0</v>
      </c>
      <c r="AD66" s="143" t="str">
        <f t="shared" si="70"/>
        <v>Leve</v>
      </c>
      <c r="AE66" s="144">
        <f t="shared" si="57"/>
        <v>0</v>
      </c>
      <c r="AF66" s="145" t="str">
        <f t="shared" si="73"/>
        <v>Moderado</v>
      </c>
      <c r="AG66" s="146" t="s">
        <v>135</v>
      </c>
      <c r="AH66" s="147" t="s">
        <v>366</v>
      </c>
      <c r="AI66" s="147" t="s">
        <v>365</v>
      </c>
      <c r="AJ66" s="149">
        <v>45304</v>
      </c>
      <c r="AK66" s="149">
        <v>45640</v>
      </c>
      <c r="AL66" s="147"/>
      <c r="AM66" s="150" t="s">
        <v>41</v>
      </c>
    </row>
    <row r="67" spans="1:39" ht="94.5" customHeight="1" x14ac:dyDescent="0.25">
      <c r="B67" s="213"/>
      <c r="C67" s="288">
        <v>28</v>
      </c>
      <c r="D67" s="290" t="s">
        <v>133</v>
      </c>
      <c r="E67" s="292" t="s">
        <v>354</v>
      </c>
      <c r="F67" s="292" t="s">
        <v>357</v>
      </c>
      <c r="G67" s="294" t="s">
        <v>360</v>
      </c>
      <c r="H67" s="290" t="s">
        <v>128</v>
      </c>
      <c r="I67" s="296">
        <v>1080</v>
      </c>
      <c r="J67" s="280" t="str">
        <f>IF(I67&lt;=0,"",IF(I67&lt;=2,"Muy Baja",IF(I67&lt;=24,"Baja",IF(I67&lt;=500,"Media",IF(I67&lt;=5000,"Alta","Muy Alta")))))</f>
        <v>Alta</v>
      </c>
      <c r="K67" s="278">
        <f>IF(J67="","",IF(J67="Muy Baja",0.2,IF(J67="Baja",0.4,IF(J67="Media",0.6,IF(J67="Alta",0.8,IF(J67="Muy Alta",1,))))))</f>
        <v>0.8</v>
      </c>
      <c r="L67" s="276" t="s">
        <v>152</v>
      </c>
      <c r="M67" s="278" t="str">
        <f>IF(NOT(ISERROR(MATCH(L67,'Tabla Impacto'!$B$221:$B$223,0))),'Tabla Impacto'!$F$223&amp;"Por favor no seleccionar los criterios de impacto(Afectación Económica o presupuestal y Pérdida Reputacional)",L67)</f>
        <v xml:space="preserve">     El riesgo afecta la imagen de la entidad con algunos usuarios de relevancia frente al logro de los objetivos</v>
      </c>
      <c r="N67" s="280" t="str">
        <f>IF(OR(M67='Tabla Impacto'!$C$11,M67='Tabla Impacto'!$D$11),"Leve",IF(OR(M67='Tabla Impacto'!$C$12,M67='Tabla Impacto'!$D$12),"Menor",IF(OR(M67='Tabla Impacto'!$C$13,M67='Tabla Impacto'!$D$13),"Moderado",IF(OR(M67='Tabla Impacto'!$C$14,M67='Tabla Impacto'!$D$14),"Mayor",IF(OR(M67='Tabla Impacto'!$C$15,M67='Tabla Impacto'!$D$15),"Catastrófico","")))))</f>
        <v>Moderado</v>
      </c>
      <c r="O67" s="278">
        <f>IF(N67="","",IF(N67="Leve",0.2,IF(N67="Menor",0.4,IF(N67="Moderado",0.6,IF(N67="Mayor",0.8,IF(N67="Catastrófico",1,))))))</f>
        <v>0.6</v>
      </c>
      <c r="P67" s="282" t="str">
        <f>IF(OR(AND(J67="Muy Baja",N67="Leve"),AND(J67="Muy Baja",N67="Menor"),AND(J67="Baja",N67="Leve")),"Bajo",IF(OR(AND(J67="Muy baja",N67="Moderado"),AND(J67="Baja",N67="Menor"),AND(J67="Baja",N67="Moderado"),AND(J67="Media",N67="Leve"),AND(J67="Media",N67="Menor"),AND(J67="Media",N67="Moderado"),AND(J67="Alta",N67="Leve"),AND(J67="Alta",N67="Menor")),"Moderado",IF(OR(AND(J67="Muy Baja",N67="Mayor"),AND(J67="Baja",N67="Mayor"),AND(J67="Media",N67="Mayor"),AND(J67="Alta",N67="Moderado"),AND(J67="Alta",N67="Mayor"),AND(J67="Muy Alta",N67="Leve"),AND(J67="Muy Alta",N67="Menor"),AND(J67="Muy Alta",N67="Moderado"),AND(J67="Muy Alta",N67="Mayor")),"Alto",IF(OR(AND(J67="Muy Baja",N67="Catastrófico"),AND(J67="Baja",N67="Catastrófico"),AND(J67="Media",N67="Catastrófico"),AND(J67="Alta",N67="Catastrófico"),AND(J67="Muy Alta",N67="Catastrófico")),"Extremo",""))))</f>
        <v>Alto</v>
      </c>
      <c r="Q67" s="137">
        <v>1</v>
      </c>
      <c r="R67" s="156" t="s">
        <v>361</v>
      </c>
      <c r="S67" s="138" t="s">
        <v>544</v>
      </c>
      <c r="T67" s="139" t="str">
        <f t="shared" si="52"/>
        <v>Probabilidad</v>
      </c>
      <c r="U67" s="140" t="s">
        <v>15</v>
      </c>
      <c r="V67" s="140" t="s">
        <v>9</v>
      </c>
      <c r="W67" s="141" t="str">
        <f t="shared" si="53"/>
        <v>30%</v>
      </c>
      <c r="X67" s="140" t="s">
        <v>19</v>
      </c>
      <c r="Y67" s="140" t="s">
        <v>22</v>
      </c>
      <c r="Z67" s="140" t="s">
        <v>119</v>
      </c>
      <c r="AA67" s="142">
        <f t="shared" si="65"/>
        <v>0.56000000000000005</v>
      </c>
      <c r="AB67" s="143" t="str">
        <f>IFERROR(IF(AA67="","",IF(AA67&lt;=0.2,"Muy Baja",IF(AA67&lt;=0.4,"Baja",IF(AA67&lt;=0.6,"Media",IF(AA67&lt;=0.8,"Alta","Muy Alta"))))),"")</f>
        <v>Media</v>
      </c>
      <c r="AC67" s="144">
        <f t="shared" si="55"/>
        <v>0.56000000000000005</v>
      </c>
      <c r="AD67" s="143" t="str">
        <f t="shared" si="70"/>
        <v>Moderado</v>
      </c>
      <c r="AE67" s="144">
        <f t="shared" si="57"/>
        <v>0.6</v>
      </c>
      <c r="AF67" s="145" t="str">
        <f t="shared" ref="AF67:AF68" si="74">IFERROR(IF(OR(AND(AB67="Muy Baja",AD67="Leve"),AND(AB67="Muy Baja",AD67="Menor"),AND(AB67="Baja",AD67="Leve")),"Bajo",IF(OR(AND(AB67="Muy baja",AD67="Moderado"),AND(AB67="Baja",AD67="Menor"),AND(AB67="Baja",AD67="Moderado"),AND(AB67="Media",AD67="Leve"),AND(AB67="Media",AD67="Menor"),AND(AB67="Media",AD67="Moderado"),AND(AB67="Alta",AD67="Leve"),AND(AB67="Alta",AD67="Menor")),"Moderado",IF(OR(AND(AB67="Muy Baja",AD67="Mayor"),AND(AB67="Baja",AD67="Mayor"),AND(AB67="Media",AD67="Mayor"),AND(AB67="Alta",AD67="Moderado"),AND(AB67="Alta",AD67="Mayor"),AND(AB67="Muy Alta",AD67="Leve"),AND(AB67="Muy Alta",AD67="Menor"),AND(AB67="Muy Alta",AD67="Moderado"),AND(AB67="Muy Alta",AD67="Mayor")),"Alto",IF(OR(AND(AB67="Muy Baja",AD67="Catastrófico"),AND(AB67="Baja",AD67="Catastrófico"),AND(AB67="Media",AD67="Catastrófico"),AND(AB67="Alta",AD67="Catastrófico"),AND(AB67="Muy Alta",AD67="Catastrófico")),"Extremo","")))),"")</f>
        <v>Moderado</v>
      </c>
      <c r="AG67" s="146" t="s">
        <v>135</v>
      </c>
      <c r="AH67" s="147" t="s">
        <v>367</v>
      </c>
      <c r="AI67" s="147" t="s">
        <v>365</v>
      </c>
      <c r="AJ67" s="149">
        <v>45304</v>
      </c>
      <c r="AK67" s="149">
        <v>45640</v>
      </c>
      <c r="AL67" s="147"/>
      <c r="AM67" s="150" t="s">
        <v>40</v>
      </c>
    </row>
    <row r="68" spans="1:39" ht="81.75" thickBot="1" x14ac:dyDescent="0.3">
      <c r="B68" s="214"/>
      <c r="C68" s="289"/>
      <c r="D68" s="291"/>
      <c r="E68" s="293"/>
      <c r="F68" s="293"/>
      <c r="G68" s="295"/>
      <c r="H68" s="291"/>
      <c r="I68" s="297"/>
      <c r="J68" s="281"/>
      <c r="K68" s="279"/>
      <c r="L68" s="277"/>
      <c r="M68" s="279">
        <f>IF(NOT(ISERROR(MATCH(L68,_xlfn.ANCHORARRAY(#REF!),0))),#REF!&amp;"Por favor no seleccionar los criterios de impacto",L68)</f>
        <v>0</v>
      </c>
      <c r="N68" s="281"/>
      <c r="O68" s="279"/>
      <c r="P68" s="283"/>
      <c r="Q68" s="137">
        <v>2</v>
      </c>
      <c r="R68" s="156" t="s">
        <v>361</v>
      </c>
      <c r="S68" s="138" t="s">
        <v>545</v>
      </c>
      <c r="T68" s="139" t="str">
        <f t="shared" si="52"/>
        <v>Impacto</v>
      </c>
      <c r="U68" s="140" t="s">
        <v>16</v>
      </c>
      <c r="V68" s="140" t="s">
        <v>9</v>
      </c>
      <c r="W68" s="141" t="str">
        <f t="shared" si="53"/>
        <v>25%</v>
      </c>
      <c r="X68" s="140" t="s">
        <v>19</v>
      </c>
      <c r="Y68" s="140" t="s">
        <v>23</v>
      </c>
      <c r="Z68" s="140" t="s">
        <v>119</v>
      </c>
      <c r="AA68" s="142">
        <f t="shared" si="65"/>
        <v>0</v>
      </c>
      <c r="AB68" s="143" t="s">
        <v>107</v>
      </c>
      <c r="AC68" s="144">
        <f t="shared" si="55"/>
        <v>0</v>
      </c>
      <c r="AD68" s="143" t="str">
        <f t="shared" si="70"/>
        <v>Leve</v>
      </c>
      <c r="AE68" s="144">
        <f t="shared" si="57"/>
        <v>0</v>
      </c>
      <c r="AF68" s="145" t="str">
        <f t="shared" si="74"/>
        <v>Moderado</v>
      </c>
      <c r="AG68" s="146" t="s">
        <v>135</v>
      </c>
      <c r="AH68" s="147" t="s">
        <v>368</v>
      </c>
      <c r="AI68" s="147" t="s">
        <v>365</v>
      </c>
      <c r="AJ68" s="149">
        <v>45304</v>
      </c>
      <c r="AK68" s="149">
        <v>45640</v>
      </c>
      <c r="AL68" s="147"/>
      <c r="AM68" s="150" t="s">
        <v>40</v>
      </c>
    </row>
    <row r="69" spans="1:39" ht="148.5" x14ac:dyDescent="0.25">
      <c r="A69" s="573" t="s">
        <v>515</v>
      </c>
      <c r="B69" s="195" t="s">
        <v>505</v>
      </c>
      <c r="C69" s="176">
        <v>29</v>
      </c>
      <c r="D69" s="130" t="s">
        <v>131</v>
      </c>
      <c r="E69" s="131" t="s">
        <v>369</v>
      </c>
      <c r="F69" s="131" t="s">
        <v>370</v>
      </c>
      <c r="G69" s="132" t="s">
        <v>371</v>
      </c>
      <c r="H69" s="130" t="s">
        <v>128</v>
      </c>
      <c r="I69" s="153">
        <v>80</v>
      </c>
      <c r="J69" s="133" t="str">
        <f>IF(I69&lt;=0,"",IF(I69&lt;=2,"Muy Baja",IF(I69&lt;=24,"Baja",IF(I69&lt;=500,"Media",IF(I69&lt;=5000,"Alta","Muy Alta")))))</f>
        <v>Media</v>
      </c>
      <c r="K69" s="134">
        <f>IF(J69="","",IF(J69="Muy Baja",0.2,IF(J69="Baja",0.4,IF(J69="Media",0.6,IF(J69="Alta",0.8,IF(J69="Muy Alta",1,))))))</f>
        <v>0.6</v>
      </c>
      <c r="L69" s="135" t="s">
        <v>152</v>
      </c>
      <c r="M69" s="134" t="str">
        <f>IF(NOT(ISERROR(MATCH(L69,'Tabla Impacto'!$B$221:$B$223,0))),'Tabla Impacto'!$F$223&amp;"Por favor no seleccionar los criterios de impacto(Afectación Económica o presupuestal y Pérdida Reputacional)",L69)</f>
        <v xml:space="preserve">     El riesgo afecta la imagen de la entidad con algunos usuarios de relevancia frente al logro de los objetivos</v>
      </c>
      <c r="N69" s="133" t="str">
        <f>IF(OR(M69='Tabla Impacto'!$C$11,M69='Tabla Impacto'!$D$11),"Leve",IF(OR(M69='Tabla Impacto'!$C$12,M69='Tabla Impacto'!$D$12),"Menor",IF(OR(M69='Tabla Impacto'!$C$13,M69='Tabla Impacto'!$D$13),"Moderado",IF(OR(M69='Tabla Impacto'!$C$14,M69='Tabla Impacto'!$D$14),"Mayor",IF(OR(M69='Tabla Impacto'!$C$15,M69='Tabla Impacto'!$D$15),"Catastrófico","")))))</f>
        <v>Moderado</v>
      </c>
      <c r="O69" s="134">
        <f>IF(N69="","",IF(N69="Leve",0.2,IF(N69="Menor",0.4,IF(N69="Moderado",0.6,IF(N69="Mayor",0.8,IF(N69="Catastrófico",1,))))))</f>
        <v>0.6</v>
      </c>
      <c r="P69" s="136" t="str">
        <f>IF(OR(AND(J69="Muy Baja",N69="Leve"),AND(J69="Muy Baja",N69="Menor"),AND(J69="Baja",N69="Leve")),"Bajo",IF(OR(AND(J69="Muy baja",N69="Moderado"),AND(J69="Baja",N69="Menor"),AND(J69="Baja",N69="Moderado"),AND(J69="Media",N69="Leve"),AND(J69="Media",N69="Menor"),AND(J69="Media",N69="Moderado"),AND(J69="Alta",N69="Leve"),AND(J69="Alta",N69="Menor")),"Moderado",IF(OR(AND(J69="Muy Baja",N69="Mayor"),AND(J69="Baja",N69="Mayor"),AND(J69="Media",N69="Mayor"),AND(J69="Alta",N69="Moderado"),AND(J69="Alta",N69="Mayor"),AND(J69="Muy Alta",N69="Leve"),AND(J69="Muy Alta",N69="Menor"),AND(J69="Muy Alta",N69="Moderado"),AND(J69="Muy Alta",N69="Mayor")),"Alto",IF(OR(AND(J69="Muy Baja",N69="Catastrófico"),AND(J69="Baja",N69="Catastrófico"),AND(J69="Media",N69="Catastrófico"),AND(J69="Alta",N69="Catastrófico"),AND(J69="Muy Alta",N69="Catastrófico")),"Extremo",""))))</f>
        <v>Moderado</v>
      </c>
      <c r="Q69" s="137">
        <v>1</v>
      </c>
      <c r="R69" s="156" t="s">
        <v>376</v>
      </c>
      <c r="S69" s="165" t="s">
        <v>375</v>
      </c>
      <c r="T69" s="139" t="str">
        <f t="shared" si="52"/>
        <v>Probabilidad</v>
      </c>
      <c r="U69" s="140" t="s">
        <v>14</v>
      </c>
      <c r="V69" s="140" t="s">
        <v>9</v>
      </c>
      <c r="W69" s="141" t="str">
        <f t="shared" si="53"/>
        <v>40%</v>
      </c>
      <c r="X69" s="140" t="s">
        <v>19</v>
      </c>
      <c r="Y69" s="140" t="s">
        <v>22</v>
      </c>
      <c r="Z69" s="140" t="s">
        <v>119</v>
      </c>
      <c r="AA69" s="142">
        <f t="shared" si="65"/>
        <v>0.36</v>
      </c>
      <c r="AB69" s="143" t="str">
        <f>IFERROR(IF(AA69="","",IF(AA69&lt;=0.2,"Muy Baja",IF(AA69&lt;=0.4,"Baja",IF(AA69&lt;=0.6,"Media",IF(AA69&lt;=0.8,"Alta","Muy Alta"))))),"")</f>
        <v>Baja</v>
      </c>
      <c r="AC69" s="144">
        <f t="shared" si="55"/>
        <v>0.36</v>
      </c>
      <c r="AD69" s="143" t="str">
        <f t="shared" si="70"/>
        <v>Moderado</v>
      </c>
      <c r="AE69" s="144">
        <f t="shared" si="57"/>
        <v>0.6</v>
      </c>
      <c r="AF69" s="145" t="str">
        <f t="shared" ref="AF69" si="75">IFERROR(IF(OR(AND(AB69="Muy Baja",AD69="Leve"),AND(AB69="Muy Baja",AD69="Menor"),AND(AB69="Baja",AD69="Leve")),"Bajo",IF(OR(AND(AB69="Muy baja",AD69="Moderado"),AND(AB69="Baja",AD69="Menor"),AND(AB69="Baja",AD69="Moderado"),AND(AB69="Media",AD69="Leve"),AND(AB69="Media",AD69="Menor"),AND(AB69="Media",AD69="Moderado"),AND(AB69="Alta",AD69="Leve"),AND(AB69="Alta",AD69="Menor")),"Moderado",IF(OR(AND(AB69="Muy Baja",AD69="Mayor"),AND(AB69="Baja",AD69="Mayor"),AND(AB69="Media",AD69="Mayor"),AND(AB69="Alta",AD69="Moderado"),AND(AB69="Alta",AD69="Mayor"),AND(AB69="Muy Alta",AD69="Leve"),AND(AB69="Muy Alta",AD69="Menor"),AND(AB69="Muy Alta",AD69="Moderado"),AND(AB69="Muy Alta",AD69="Mayor")),"Alto",IF(OR(AND(AB69="Muy Baja",AD69="Catastrófico"),AND(AB69="Baja",AD69="Catastrófico"),AND(AB69="Media",AD69="Catastrófico"),AND(AB69="Alta",AD69="Catastrófico"),AND(AB69="Muy Alta",AD69="Catastrófico")),"Extremo","")))),"")</f>
        <v>Moderado</v>
      </c>
      <c r="AG69" s="146" t="s">
        <v>31</v>
      </c>
      <c r="AH69" s="147"/>
      <c r="AI69" s="148"/>
      <c r="AJ69" s="149"/>
      <c r="AK69" s="149"/>
      <c r="AL69" s="147"/>
      <c r="AM69" s="150"/>
    </row>
    <row r="70" spans="1:39" ht="148.5" x14ac:dyDescent="0.25">
      <c r="B70" s="193"/>
      <c r="C70" s="288">
        <v>30</v>
      </c>
      <c r="D70" s="290" t="s">
        <v>133</v>
      </c>
      <c r="E70" s="292" t="s">
        <v>372</v>
      </c>
      <c r="F70" s="292" t="s">
        <v>373</v>
      </c>
      <c r="G70" s="294" t="s">
        <v>374</v>
      </c>
      <c r="H70" s="290" t="s">
        <v>128</v>
      </c>
      <c r="I70" s="296">
        <v>80</v>
      </c>
      <c r="J70" s="280" t="str">
        <f>IF(I70&lt;=0,"",IF(I70&lt;=2,"Muy Baja",IF(I70&lt;=24,"Baja",IF(I70&lt;=500,"Media",IF(I70&lt;=5000,"Alta","Muy Alta")))))</f>
        <v>Media</v>
      </c>
      <c r="K70" s="278">
        <f>IF(J70="","",IF(J70="Muy Baja",0.2,IF(J70="Baja",0.4,IF(J70="Media",0.6,IF(J70="Alta",0.8,IF(J70="Muy Alta",1,))))))</f>
        <v>0.6</v>
      </c>
      <c r="L70" s="276" t="s">
        <v>152</v>
      </c>
      <c r="M70" s="278" t="str">
        <f>IF(NOT(ISERROR(MATCH(L70,'Tabla Impacto'!$B$221:$B$223,0))),'Tabla Impacto'!$F$223&amp;"Por favor no seleccionar los criterios de impacto(Afectación Económica o presupuestal y Pérdida Reputacional)",L70)</f>
        <v xml:space="preserve">     El riesgo afecta la imagen de la entidad con algunos usuarios de relevancia frente al logro de los objetivos</v>
      </c>
      <c r="N70" s="280" t="str">
        <f>IF(OR(M70='Tabla Impacto'!$C$11,M70='Tabla Impacto'!$D$11),"Leve",IF(OR(M70='Tabla Impacto'!$C$12,M70='Tabla Impacto'!$D$12),"Menor",IF(OR(M70='Tabla Impacto'!$C$13,M70='Tabla Impacto'!$D$13),"Moderado",IF(OR(M70='Tabla Impacto'!$C$14,M70='Tabla Impacto'!$D$14),"Mayor",IF(OR(M70='Tabla Impacto'!$C$15,M70='Tabla Impacto'!$D$15),"Catastrófico","")))))</f>
        <v>Moderado</v>
      </c>
      <c r="O70" s="278">
        <f>IF(N70="","",IF(N70="Leve",0.2,IF(N70="Menor",0.4,IF(N70="Moderado",0.6,IF(N70="Mayor",0.8,IF(N70="Catastrófico",1,))))))</f>
        <v>0.6</v>
      </c>
      <c r="P70" s="282" t="str">
        <f>IF(OR(AND(J70="Muy Baja",N70="Leve"),AND(J70="Muy Baja",N70="Menor"),AND(J70="Baja",N70="Leve")),"Bajo",IF(OR(AND(J70="Muy baja",N70="Moderado"),AND(J70="Baja",N70="Menor"),AND(J70="Baja",N70="Moderado"),AND(J70="Media",N70="Leve"),AND(J70="Media",N70="Menor"),AND(J70="Media",N70="Moderado"),AND(J70="Alta",N70="Leve"),AND(J70="Alta",N70="Menor")),"Moderado",IF(OR(AND(J70="Muy Baja",N70="Mayor"),AND(J70="Baja",N70="Mayor"),AND(J70="Media",N70="Mayor"),AND(J70="Alta",N70="Moderado"),AND(J70="Alta",N70="Mayor"),AND(J70="Muy Alta",N70="Leve"),AND(J70="Muy Alta",N70="Menor"),AND(J70="Muy Alta",N70="Moderado"),AND(J70="Muy Alta",N70="Mayor")),"Alto",IF(OR(AND(J70="Muy Baja",N70="Catastrófico"),AND(J70="Baja",N70="Catastrófico"),AND(J70="Media",N70="Catastrófico"),AND(J70="Alta",N70="Catastrófico"),AND(J70="Muy Alta",N70="Catastrófico")),"Extremo",""))))</f>
        <v>Moderado</v>
      </c>
      <c r="Q70" s="137">
        <v>1</v>
      </c>
      <c r="R70" s="156" t="s">
        <v>376</v>
      </c>
      <c r="S70" s="165" t="s">
        <v>525</v>
      </c>
      <c r="T70" s="139" t="str">
        <f t="shared" si="52"/>
        <v>Probabilidad</v>
      </c>
      <c r="U70" s="140" t="s">
        <v>14</v>
      </c>
      <c r="V70" s="140" t="s">
        <v>9</v>
      </c>
      <c r="W70" s="141" t="str">
        <f t="shared" si="53"/>
        <v>40%</v>
      </c>
      <c r="X70" s="140" t="s">
        <v>19</v>
      </c>
      <c r="Y70" s="140" t="s">
        <v>22</v>
      </c>
      <c r="Z70" s="140" t="s">
        <v>119</v>
      </c>
      <c r="AA70" s="142">
        <f t="shared" si="65"/>
        <v>0.36</v>
      </c>
      <c r="AB70" s="143" t="str">
        <f>IFERROR(IF(AA70="","",IF(AA70&lt;=0.2,"Muy Baja",IF(AA70&lt;=0.4,"Baja",IF(AA70&lt;=0.6,"Media",IF(AA70&lt;=0.8,"Alta","Muy Alta"))))),"")</f>
        <v>Baja</v>
      </c>
      <c r="AC70" s="144">
        <f t="shared" si="55"/>
        <v>0.36</v>
      </c>
      <c r="AD70" s="143" t="str">
        <f t="shared" si="70"/>
        <v>Moderado</v>
      </c>
      <c r="AE70" s="144">
        <f t="shared" si="57"/>
        <v>0.6</v>
      </c>
      <c r="AF70" s="145" t="str">
        <f t="shared" ref="AF70:AF71" si="76">IFERROR(IF(OR(AND(AB70="Muy Baja",AD70="Leve"),AND(AB70="Muy Baja",AD70="Menor"),AND(AB70="Baja",AD70="Leve")),"Bajo",IF(OR(AND(AB70="Muy baja",AD70="Moderado"),AND(AB70="Baja",AD70="Menor"),AND(AB70="Baja",AD70="Moderado"),AND(AB70="Media",AD70="Leve"),AND(AB70="Media",AD70="Menor"),AND(AB70="Media",AD70="Moderado"),AND(AB70="Alta",AD70="Leve"),AND(AB70="Alta",AD70="Menor")),"Moderado",IF(OR(AND(AB70="Muy Baja",AD70="Mayor"),AND(AB70="Baja",AD70="Mayor"),AND(AB70="Media",AD70="Mayor"),AND(AB70="Alta",AD70="Moderado"),AND(AB70="Alta",AD70="Mayor"),AND(AB70="Muy Alta",AD70="Leve"),AND(AB70="Muy Alta",AD70="Menor"),AND(AB70="Muy Alta",AD70="Moderado"),AND(AB70="Muy Alta",AD70="Mayor")),"Alto",IF(OR(AND(AB70="Muy Baja",AD70="Catastrófico"),AND(AB70="Baja",AD70="Catastrófico"),AND(AB70="Media",AD70="Catastrófico"),AND(AB70="Alta",AD70="Catastrófico"),AND(AB70="Muy Alta",AD70="Catastrófico")),"Extremo","")))),"")</f>
        <v>Moderado</v>
      </c>
      <c r="AG70" s="146" t="s">
        <v>31</v>
      </c>
      <c r="AH70" s="147"/>
      <c r="AI70" s="148"/>
      <c r="AJ70" s="149"/>
      <c r="AK70" s="149"/>
      <c r="AL70" s="147"/>
      <c r="AM70" s="150"/>
    </row>
    <row r="71" spans="1:39" ht="122.25" thickBot="1" x14ac:dyDescent="0.3">
      <c r="B71" s="194"/>
      <c r="C71" s="289"/>
      <c r="D71" s="291"/>
      <c r="E71" s="293"/>
      <c r="F71" s="293"/>
      <c r="G71" s="295"/>
      <c r="H71" s="291"/>
      <c r="I71" s="297"/>
      <c r="J71" s="281"/>
      <c r="K71" s="279"/>
      <c r="L71" s="277"/>
      <c r="M71" s="279">
        <f>IF(NOT(ISERROR(MATCH(L71,_xlfn.ANCHORARRAY(#REF!),0))),#REF!&amp;"Por favor no seleccionar los criterios de impacto",L71)</f>
        <v>0</v>
      </c>
      <c r="N71" s="281"/>
      <c r="O71" s="279"/>
      <c r="P71" s="283"/>
      <c r="Q71" s="137">
        <v>2</v>
      </c>
      <c r="R71" s="156" t="s">
        <v>376</v>
      </c>
      <c r="S71" s="165" t="s">
        <v>526</v>
      </c>
      <c r="T71" s="139" t="str">
        <f t="shared" si="52"/>
        <v>Probabilidad</v>
      </c>
      <c r="U71" s="140" t="s">
        <v>14</v>
      </c>
      <c r="V71" s="140" t="s">
        <v>10</v>
      </c>
      <c r="W71" s="141" t="str">
        <f t="shared" si="53"/>
        <v>50%</v>
      </c>
      <c r="X71" s="140" t="s">
        <v>19</v>
      </c>
      <c r="Y71" s="140" t="s">
        <v>22</v>
      </c>
      <c r="Z71" s="140" t="s">
        <v>119</v>
      </c>
      <c r="AA71" s="142">
        <f t="shared" si="65"/>
        <v>0</v>
      </c>
      <c r="AB71" s="143" t="s">
        <v>107</v>
      </c>
      <c r="AC71" s="144">
        <f t="shared" si="55"/>
        <v>0</v>
      </c>
      <c r="AD71" s="143" t="str">
        <f t="shared" si="70"/>
        <v>Leve</v>
      </c>
      <c r="AE71" s="144">
        <f t="shared" si="57"/>
        <v>0</v>
      </c>
      <c r="AF71" s="145" t="str">
        <f t="shared" si="76"/>
        <v>Moderado</v>
      </c>
      <c r="AG71" s="146" t="s">
        <v>31</v>
      </c>
      <c r="AH71" s="147"/>
      <c r="AI71" s="148"/>
      <c r="AJ71" s="149"/>
      <c r="AK71" s="149"/>
      <c r="AL71" s="147"/>
      <c r="AM71" s="150"/>
    </row>
    <row r="72" spans="1:39" ht="283.5" x14ac:dyDescent="0.25">
      <c r="A72" s="573" t="s">
        <v>515</v>
      </c>
      <c r="B72" s="198" t="s">
        <v>506</v>
      </c>
      <c r="C72" s="288">
        <v>31</v>
      </c>
      <c r="D72" s="290" t="s">
        <v>131</v>
      </c>
      <c r="E72" s="292" t="s">
        <v>377</v>
      </c>
      <c r="F72" s="292" t="s">
        <v>379</v>
      </c>
      <c r="G72" s="294" t="s">
        <v>381</v>
      </c>
      <c r="H72" s="290" t="s">
        <v>128</v>
      </c>
      <c r="I72" s="296">
        <v>2176</v>
      </c>
      <c r="J72" s="280" t="str">
        <f>IF(I72&lt;=0,"",IF(I72&lt;=2,"Muy Baja",IF(I72&lt;=24,"Baja",IF(I72&lt;=500,"Media",IF(I72&lt;=5000,"Alta","Muy Alta")))))</f>
        <v>Alta</v>
      </c>
      <c r="K72" s="278">
        <f>IF(J72="","",IF(J72="Muy Baja",0.2,IF(J72="Baja",0.4,IF(J72="Media",0.6,IF(J72="Alta",0.8,IF(J72="Muy Alta",1,))))))</f>
        <v>0.8</v>
      </c>
      <c r="L72" s="276" t="s">
        <v>153</v>
      </c>
      <c r="M72" s="278" t="str">
        <f>IF(NOT(ISERROR(MATCH(L72,'Tabla Impacto'!$B$221:$B$223,0))),'Tabla Impacto'!$F$223&amp;"Por favor no seleccionar los criterios de impacto(Afectación Económica o presupuestal y Pérdida Reputacional)",L72)</f>
        <v xml:space="preserve">     El riesgo afecta la imagen de de la entidad con efecto publicitario sostenido a nivel de sector administrativo, nivel departamental o municipal</v>
      </c>
      <c r="N72" s="280" t="str">
        <f>IF(OR(M72='Tabla Impacto'!$C$11,M72='Tabla Impacto'!$D$11),"Leve",IF(OR(M72='Tabla Impacto'!$C$12,M72='Tabla Impacto'!$D$12),"Menor",IF(OR(M72='Tabla Impacto'!$C$13,M72='Tabla Impacto'!$D$13),"Moderado",IF(OR(M72='Tabla Impacto'!$C$14,M72='Tabla Impacto'!$D$14),"Mayor",IF(OR(M72='Tabla Impacto'!$C$15,M72='Tabla Impacto'!$D$15),"Catastrófico","")))))</f>
        <v>Mayor</v>
      </c>
      <c r="O72" s="278">
        <f>IF(N72="","",IF(N72="Leve",0.2,IF(N72="Menor",0.4,IF(N72="Moderado",0.6,IF(N72="Mayor",0.8,IF(N72="Catastrófico",1,))))))</f>
        <v>0.8</v>
      </c>
      <c r="P72" s="282" t="str">
        <f>IF(OR(AND(J72="Muy Baja",N72="Leve"),AND(J72="Muy Baja",N72="Menor"),AND(J72="Baja",N72="Leve")),"Bajo",IF(OR(AND(J72="Muy baja",N72="Moderado"),AND(J72="Baja",N72="Menor"),AND(J72="Baja",N72="Moderado"),AND(J72="Media",N72="Leve"),AND(J72="Media",N72="Menor"),AND(J72="Media",N72="Moderado"),AND(J72="Alta",N72="Leve"),AND(J72="Alta",N72="Menor")),"Moderado",IF(OR(AND(J72="Muy Baja",N72="Mayor"),AND(J72="Baja",N72="Mayor"),AND(J72="Media",N72="Mayor"),AND(J72="Alta",N72="Moderado"),AND(J72="Alta",N72="Mayor"),AND(J72="Muy Alta",N72="Leve"),AND(J72="Muy Alta",N72="Menor"),AND(J72="Muy Alta",N72="Moderado"),AND(J72="Muy Alta",N72="Mayor")),"Alto",IF(OR(AND(J72="Muy Baja",N72="Catastrófico"),AND(J72="Baja",N72="Catastrófico"),AND(J72="Media",N72="Catastrófico"),AND(J72="Alta",N72="Catastrófico"),AND(J72="Muy Alta",N72="Catastrófico")),"Extremo",""))))</f>
        <v>Alto</v>
      </c>
      <c r="Q72" s="137">
        <v>1</v>
      </c>
      <c r="R72" s="156" t="s">
        <v>384</v>
      </c>
      <c r="S72" s="165" t="s">
        <v>516</v>
      </c>
      <c r="T72" s="139" t="str">
        <f t="shared" si="52"/>
        <v>Probabilidad</v>
      </c>
      <c r="U72" s="140" t="s">
        <v>14</v>
      </c>
      <c r="V72" s="140" t="s">
        <v>9</v>
      </c>
      <c r="W72" s="141" t="str">
        <f t="shared" si="53"/>
        <v>40%</v>
      </c>
      <c r="X72" s="140" t="s">
        <v>19</v>
      </c>
      <c r="Y72" s="140" t="s">
        <v>22</v>
      </c>
      <c r="Z72" s="140" t="s">
        <v>119</v>
      </c>
      <c r="AA72" s="142">
        <f t="shared" si="65"/>
        <v>0.48</v>
      </c>
      <c r="AB72" s="143" t="str">
        <f t="shared" ref="AB72:AB84" si="77">IFERROR(IF(AA72="","",IF(AA72&lt;=0.2,"Muy Baja",IF(AA72&lt;=0.4,"Baja",IF(AA72&lt;=0.6,"Media",IF(AA72&lt;=0.8,"Alta","Muy Alta"))))),"")</f>
        <v>Media</v>
      </c>
      <c r="AC72" s="144">
        <f t="shared" si="55"/>
        <v>0.48</v>
      </c>
      <c r="AD72" s="143" t="str">
        <f t="shared" si="70"/>
        <v>Mayor</v>
      </c>
      <c r="AE72" s="144">
        <f t="shared" si="57"/>
        <v>0.8</v>
      </c>
      <c r="AF72" s="145" t="str">
        <f t="shared" ref="AF72:AF73" si="78">IFERROR(IF(OR(AND(AB72="Muy Baja",AD72="Leve"),AND(AB72="Muy Baja",AD72="Menor"),AND(AB72="Baja",AD72="Leve")),"Bajo",IF(OR(AND(AB72="Muy baja",AD72="Moderado"),AND(AB72="Baja",AD72="Menor"),AND(AB72="Baja",AD72="Moderado"),AND(AB72="Media",AD72="Leve"),AND(AB72="Media",AD72="Menor"),AND(AB72="Media",AD72="Moderado"),AND(AB72="Alta",AD72="Leve"),AND(AB72="Alta",AD72="Menor")),"Moderado",IF(OR(AND(AB72="Muy Baja",AD72="Mayor"),AND(AB72="Baja",AD72="Mayor"),AND(AB72="Media",AD72="Mayor"),AND(AB72="Alta",AD72="Moderado"),AND(AB72="Alta",AD72="Mayor"),AND(AB72="Muy Alta",AD72="Leve"),AND(AB72="Muy Alta",AD72="Menor"),AND(AB72="Muy Alta",AD72="Moderado"),AND(AB72="Muy Alta",AD72="Mayor")),"Alto",IF(OR(AND(AB72="Muy Baja",AD72="Catastrófico"),AND(AB72="Baja",AD72="Catastrófico"),AND(AB72="Media",AD72="Catastrófico"),AND(AB72="Alta",AD72="Catastrófico"),AND(AB72="Muy Alta",AD72="Catastrófico")),"Extremo","")))),"")</f>
        <v>Alto</v>
      </c>
      <c r="AG72" s="146" t="s">
        <v>31</v>
      </c>
      <c r="AH72" s="147"/>
      <c r="AI72" s="148"/>
      <c r="AJ72" s="149"/>
      <c r="AK72" s="149"/>
      <c r="AL72" s="147"/>
      <c r="AM72" s="150"/>
    </row>
    <row r="73" spans="1:39" ht="135" x14ac:dyDescent="0.25">
      <c r="B73" s="196"/>
      <c r="C73" s="289"/>
      <c r="D73" s="291"/>
      <c r="E73" s="293"/>
      <c r="F73" s="293"/>
      <c r="G73" s="295"/>
      <c r="H73" s="291"/>
      <c r="I73" s="297"/>
      <c r="J73" s="281"/>
      <c r="K73" s="279"/>
      <c r="L73" s="277"/>
      <c r="M73" s="279">
        <f>IF(NOT(ISERROR(MATCH(L73,_xlfn.ANCHORARRAY(#REF!),0))),#REF!&amp;"Por favor no seleccionar los criterios de impacto",L73)</f>
        <v>0</v>
      </c>
      <c r="N73" s="281"/>
      <c r="O73" s="279"/>
      <c r="P73" s="283"/>
      <c r="Q73" s="137">
        <v>2</v>
      </c>
      <c r="R73" s="156" t="s">
        <v>384</v>
      </c>
      <c r="S73" s="165" t="s">
        <v>527</v>
      </c>
      <c r="T73" s="139" t="str">
        <f t="shared" si="52"/>
        <v>Probabilidad</v>
      </c>
      <c r="U73" s="140" t="s">
        <v>15</v>
      </c>
      <c r="V73" s="140" t="s">
        <v>9</v>
      </c>
      <c r="W73" s="141" t="str">
        <f t="shared" si="53"/>
        <v>30%</v>
      </c>
      <c r="X73" s="140" t="s">
        <v>19</v>
      </c>
      <c r="Y73" s="140" t="s">
        <v>22</v>
      </c>
      <c r="Z73" s="140" t="s">
        <v>119</v>
      </c>
      <c r="AA73" s="142">
        <f t="shared" si="65"/>
        <v>0</v>
      </c>
      <c r="AB73" s="143" t="s">
        <v>107</v>
      </c>
      <c r="AC73" s="144">
        <f t="shared" si="55"/>
        <v>0</v>
      </c>
      <c r="AD73" s="143" t="str">
        <f t="shared" si="70"/>
        <v>Leve</v>
      </c>
      <c r="AE73" s="144">
        <f t="shared" si="57"/>
        <v>0</v>
      </c>
      <c r="AF73" s="145" t="str">
        <f t="shared" si="78"/>
        <v>Moderado</v>
      </c>
      <c r="AG73" s="146" t="s">
        <v>136</v>
      </c>
      <c r="AH73" s="147"/>
      <c r="AI73" s="148"/>
      <c r="AJ73" s="149"/>
      <c r="AK73" s="149"/>
      <c r="AL73" s="147"/>
      <c r="AM73" s="150"/>
    </row>
    <row r="74" spans="1:39" ht="149.25" thickBot="1" x14ac:dyDescent="0.3">
      <c r="B74" s="197"/>
      <c r="C74" s="176">
        <v>32</v>
      </c>
      <c r="D74" s="130" t="s">
        <v>131</v>
      </c>
      <c r="E74" s="131" t="s">
        <v>378</v>
      </c>
      <c r="F74" s="131" t="s">
        <v>380</v>
      </c>
      <c r="G74" s="132" t="s">
        <v>382</v>
      </c>
      <c r="H74" s="130" t="s">
        <v>128</v>
      </c>
      <c r="I74" s="153">
        <v>1736</v>
      </c>
      <c r="J74" s="133" t="str">
        <f t="shared" ref="J74:J83" si="79">IF(I74&lt;=0,"",IF(I74&lt;=2,"Muy Baja",IF(I74&lt;=24,"Baja",IF(I74&lt;=500,"Media",IF(I74&lt;=5000,"Alta","Muy Alta")))))</f>
        <v>Alta</v>
      </c>
      <c r="K74" s="134">
        <f t="shared" ref="K74:K83" si="80">IF(J74="","",IF(J74="Muy Baja",0.2,IF(J74="Baja",0.4,IF(J74="Media",0.6,IF(J74="Alta",0.8,IF(J74="Muy Alta",1,))))))</f>
        <v>0.8</v>
      </c>
      <c r="L74" s="135" t="s">
        <v>152</v>
      </c>
      <c r="M74" s="134" t="str">
        <f>IF(NOT(ISERROR(MATCH(L74,'Tabla Impacto'!$B$221:$B$223,0))),'Tabla Impacto'!$F$223&amp;"Por favor no seleccionar los criterios de impacto(Afectación Económica o presupuestal y Pérdida Reputacional)",L74)</f>
        <v xml:space="preserve">     El riesgo afecta la imagen de la entidad con algunos usuarios de relevancia frente al logro de los objetivos</v>
      </c>
      <c r="N74" s="133" t="str">
        <f>IF(OR(M74='Tabla Impacto'!$C$11,M74='Tabla Impacto'!$D$11),"Leve",IF(OR(M74='Tabla Impacto'!$C$12,M74='Tabla Impacto'!$D$12),"Menor",IF(OR(M74='Tabla Impacto'!$C$13,M74='Tabla Impacto'!$D$13),"Moderado",IF(OR(M74='Tabla Impacto'!$C$14,M74='Tabla Impacto'!$D$14),"Mayor",IF(OR(M74='Tabla Impacto'!$C$15,M74='Tabla Impacto'!$D$15),"Catastrófico","")))))</f>
        <v>Moderado</v>
      </c>
      <c r="O74" s="134">
        <f t="shared" ref="O74:O83" si="81">IF(N74="","",IF(N74="Leve",0.2,IF(N74="Menor",0.4,IF(N74="Moderado",0.6,IF(N74="Mayor",0.8,IF(N74="Catastrófico",1,))))))</f>
        <v>0.6</v>
      </c>
      <c r="P74" s="136" t="str">
        <f t="shared" ref="P74:P83" si="82">IF(OR(AND(J74="Muy Baja",N74="Leve"),AND(J74="Muy Baja",N74="Menor"),AND(J74="Baja",N74="Leve")),"Bajo",IF(OR(AND(J74="Muy baja",N74="Moderado"),AND(J74="Baja",N74="Menor"),AND(J74="Baja",N74="Moderado"),AND(J74="Media",N74="Leve"),AND(J74="Media",N74="Menor"),AND(J74="Media",N74="Moderado"),AND(J74="Alta",N74="Leve"),AND(J74="Alta",N74="Menor")),"Moderado",IF(OR(AND(J74="Muy Baja",N74="Mayor"),AND(J74="Baja",N74="Mayor"),AND(J74="Media",N74="Mayor"),AND(J74="Alta",N74="Moderado"),AND(J74="Alta",N74="Mayor"),AND(J74="Muy Alta",N74="Leve"),AND(J74="Muy Alta",N74="Menor"),AND(J74="Muy Alta",N74="Moderado"),AND(J74="Muy Alta",N74="Mayor")),"Alto",IF(OR(AND(J74="Muy Baja",N74="Catastrófico"),AND(J74="Baja",N74="Catastrófico"),AND(J74="Media",N74="Catastrófico"),AND(J74="Alta",N74="Catastrófico"),AND(J74="Muy Alta",N74="Catastrófico")),"Extremo",""))))</f>
        <v>Alto</v>
      </c>
      <c r="Q74" s="137">
        <v>1</v>
      </c>
      <c r="R74" s="156" t="s">
        <v>384</v>
      </c>
      <c r="S74" s="165" t="s">
        <v>383</v>
      </c>
      <c r="T74" s="139" t="str">
        <f t="shared" si="52"/>
        <v>Probabilidad</v>
      </c>
      <c r="U74" s="140" t="s">
        <v>14</v>
      </c>
      <c r="V74" s="140" t="s">
        <v>9</v>
      </c>
      <c r="W74" s="141" t="str">
        <f t="shared" si="53"/>
        <v>40%</v>
      </c>
      <c r="X74" s="140" t="s">
        <v>19</v>
      </c>
      <c r="Y74" s="140" t="s">
        <v>22</v>
      </c>
      <c r="Z74" s="140" t="s">
        <v>119</v>
      </c>
      <c r="AA74" s="142">
        <f t="shared" ref="AA74:AA83" si="83">IFERROR(IF(T74="Probabilidad",(K74-(+K74*W74)),IF(T74="Impacto",K74,"")),"")</f>
        <v>0.48</v>
      </c>
      <c r="AB74" s="143" t="str">
        <f>IFERROR(IF(AA74="","",IF(AA74&lt;=0.2,"Muy Baja",IF(AA74&lt;=0.4,"Baja",IF(AA74&lt;=0.6,"Media",IF(AA74&lt;=0.8,"Alta","Muy Alta"))))),"")</f>
        <v>Media</v>
      </c>
      <c r="AC74" s="144">
        <f t="shared" si="55"/>
        <v>0.48</v>
      </c>
      <c r="AD74" s="143" t="str">
        <f t="shared" ref="AD74:AD84" si="84">IFERROR(IF(AE74="","",IF(AE74&lt;=0.2,"Leve",IF(AE74&lt;=0.4,"Menor",IF(AE74&lt;=0.6,"Moderado",IF(AE74&lt;=0.8,"Mayor","Catastrófico"))))),"")</f>
        <v>Moderado</v>
      </c>
      <c r="AE74" s="144">
        <f t="shared" si="57"/>
        <v>0.6</v>
      </c>
      <c r="AF74" s="145" t="str">
        <f t="shared" ref="AF74" si="85">IFERROR(IF(OR(AND(AB74="Muy Baja",AD74="Leve"),AND(AB74="Muy Baja",AD74="Menor"),AND(AB74="Baja",AD74="Leve")),"Bajo",IF(OR(AND(AB74="Muy baja",AD74="Moderado"),AND(AB74="Baja",AD74="Menor"),AND(AB74="Baja",AD74="Moderado"),AND(AB74="Media",AD74="Leve"),AND(AB74="Media",AD74="Menor"),AND(AB74="Media",AD74="Moderado"),AND(AB74="Alta",AD74="Leve"),AND(AB74="Alta",AD74="Menor")),"Moderado",IF(OR(AND(AB74="Muy Baja",AD74="Mayor"),AND(AB74="Baja",AD74="Mayor"),AND(AB74="Media",AD74="Mayor"),AND(AB74="Alta",AD74="Moderado"),AND(AB74="Alta",AD74="Mayor"),AND(AB74="Muy Alta",AD74="Leve"),AND(AB74="Muy Alta",AD74="Menor"),AND(AB74="Muy Alta",AD74="Moderado"),AND(AB74="Muy Alta",AD74="Mayor")),"Alto",IF(OR(AND(AB74="Muy Baja",AD74="Catastrófico"),AND(AB74="Baja",AD74="Catastrófico"),AND(AB74="Media",AD74="Catastrófico"),AND(AB74="Alta",AD74="Catastrófico"),AND(AB74="Muy Alta",AD74="Catastrófico")),"Extremo","")))),"")</f>
        <v>Moderado</v>
      </c>
      <c r="AG74" s="146" t="s">
        <v>31</v>
      </c>
      <c r="AH74" s="147"/>
      <c r="AI74" s="148"/>
      <c r="AJ74" s="149"/>
      <c r="AK74" s="149"/>
      <c r="AL74" s="147"/>
      <c r="AM74" s="150"/>
    </row>
    <row r="75" spans="1:39" ht="175.5" x14ac:dyDescent="0.25">
      <c r="B75" s="200" t="s">
        <v>507</v>
      </c>
      <c r="C75" s="176">
        <v>33</v>
      </c>
      <c r="D75" s="130" t="s">
        <v>133</v>
      </c>
      <c r="E75" s="131" t="s">
        <v>385</v>
      </c>
      <c r="F75" s="131" t="s">
        <v>387</v>
      </c>
      <c r="G75" s="132" t="s">
        <v>389</v>
      </c>
      <c r="H75" s="130" t="s">
        <v>123</v>
      </c>
      <c r="I75" s="153">
        <v>144</v>
      </c>
      <c r="J75" s="133" t="str">
        <f t="shared" si="79"/>
        <v>Media</v>
      </c>
      <c r="K75" s="134">
        <f t="shared" si="80"/>
        <v>0.6</v>
      </c>
      <c r="L75" s="135" t="s">
        <v>151</v>
      </c>
      <c r="M75" s="134" t="str">
        <f>IF(NOT(ISERROR(MATCH(L75,'Tabla Impacto'!$B$221:$B$223,0))),'Tabla Impacto'!$F$223&amp;"Por favor no seleccionar los criterios de impacto(Afectación Económica o presupuestal y Pérdida Reputacional)",L75)</f>
        <v xml:space="preserve">     El riesgo afecta la imagen de la entidad internamente, de conocimiento general, nivel interno, de junta dircetiva y accionistas y/o de provedores</v>
      </c>
      <c r="N75" s="133" t="str">
        <f>IF(OR(M75='Tabla Impacto'!$C$11,M75='Tabla Impacto'!$D$11),"Leve",IF(OR(M75='Tabla Impacto'!$C$12,M75='Tabla Impacto'!$D$12),"Menor",IF(OR(M75='Tabla Impacto'!$C$13,M75='Tabla Impacto'!$D$13),"Moderado",IF(OR(M75='Tabla Impacto'!$C$14,M75='Tabla Impacto'!$D$14),"Mayor",IF(OR(M75='Tabla Impacto'!$C$15,M75='Tabla Impacto'!$D$15),"Catastrófico","")))))</f>
        <v>Menor</v>
      </c>
      <c r="O75" s="134">
        <f t="shared" si="81"/>
        <v>0.4</v>
      </c>
      <c r="P75" s="136" t="str">
        <f t="shared" si="82"/>
        <v>Moderado</v>
      </c>
      <c r="Q75" s="137">
        <v>1</v>
      </c>
      <c r="R75" s="156" t="s">
        <v>392</v>
      </c>
      <c r="S75" s="165" t="s">
        <v>541</v>
      </c>
      <c r="T75" s="139" t="str">
        <f t="shared" si="52"/>
        <v>Probabilidad</v>
      </c>
      <c r="U75" s="140" t="s">
        <v>14</v>
      </c>
      <c r="V75" s="140" t="s">
        <v>9</v>
      </c>
      <c r="W75" s="141" t="str">
        <f t="shared" si="53"/>
        <v>40%</v>
      </c>
      <c r="X75" s="140" t="s">
        <v>19</v>
      </c>
      <c r="Y75" s="140" t="s">
        <v>22</v>
      </c>
      <c r="Z75" s="140" t="s">
        <v>119</v>
      </c>
      <c r="AA75" s="142">
        <f t="shared" si="83"/>
        <v>0.36</v>
      </c>
      <c r="AB75" s="143" t="str">
        <f t="shared" si="77"/>
        <v>Baja</v>
      </c>
      <c r="AC75" s="144">
        <f t="shared" si="55"/>
        <v>0.36</v>
      </c>
      <c r="AD75" s="143" t="str">
        <f t="shared" si="84"/>
        <v>Menor</v>
      </c>
      <c r="AE75" s="144">
        <f t="shared" si="57"/>
        <v>0.4</v>
      </c>
      <c r="AF75" s="145" t="str">
        <f t="shared" ref="AF75" si="86">IFERROR(IF(OR(AND(AB75="Muy Baja",AD75="Leve"),AND(AB75="Muy Baja",AD75="Menor"),AND(AB75="Baja",AD75="Leve")),"Bajo",IF(OR(AND(AB75="Muy baja",AD75="Moderado"),AND(AB75="Baja",AD75="Menor"),AND(AB75="Baja",AD75="Moderado"),AND(AB75="Media",AD75="Leve"),AND(AB75="Media",AD75="Menor"),AND(AB75="Media",AD75="Moderado"),AND(AB75="Alta",AD75="Leve"),AND(AB75="Alta",AD75="Menor")),"Moderado",IF(OR(AND(AB75="Muy Baja",AD75="Mayor"),AND(AB75="Baja",AD75="Mayor"),AND(AB75="Media",AD75="Mayor"),AND(AB75="Alta",AD75="Moderado"),AND(AB75="Alta",AD75="Mayor"),AND(AB75="Muy Alta",AD75="Leve"),AND(AB75="Muy Alta",AD75="Menor"),AND(AB75="Muy Alta",AD75="Moderado"),AND(AB75="Muy Alta",AD75="Mayor")),"Alto",IF(OR(AND(AB75="Muy Baja",AD75="Catastrófico"),AND(AB75="Baja",AD75="Catastrófico"),AND(AB75="Media",AD75="Catastrófico"),AND(AB75="Alta",AD75="Catastrófico"),AND(AB75="Muy Alta",AD75="Catastrófico")),"Extremo","")))),"")</f>
        <v>Moderado</v>
      </c>
      <c r="AG75" s="146" t="s">
        <v>31</v>
      </c>
      <c r="AH75" s="147"/>
      <c r="AI75" s="148"/>
      <c r="AJ75" s="149"/>
      <c r="AK75" s="149"/>
      <c r="AL75" s="147"/>
      <c r="AM75" s="150"/>
    </row>
    <row r="76" spans="1:39" ht="122.25" thickBot="1" x14ac:dyDescent="0.3">
      <c r="B76" s="199"/>
      <c r="C76" s="176">
        <v>34</v>
      </c>
      <c r="D76" s="130" t="s">
        <v>132</v>
      </c>
      <c r="E76" s="131" t="s">
        <v>386</v>
      </c>
      <c r="F76" s="131" t="s">
        <v>388</v>
      </c>
      <c r="G76" s="132" t="s">
        <v>390</v>
      </c>
      <c r="H76" s="130" t="s">
        <v>124</v>
      </c>
      <c r="I76" s="153">
        <v>200</v>
      </c>
      <c r="J76" s="133" t="str">
        <f t="shared" si="79"/>
        <v>Media</v>
      </c>
      <c r="K76" s="134">
        <f t="shared" si="80"/>
        <v>0.6</v>
      </c>
      <c r="L76" s="135" t="s">
        <v>148</v>
      </c>
      <c r="M76" s="134" t="str">
        <f>IF(NOT(ISERROR(MATCH(L76,'Tabla Impacto'!$B$221:$B$223,0))),'Tabla Impacto'!$F$223&amp;"Por favor no seleccionar los criterios de impacto(Afectación Económica o presupuestal y Pérdida Reputacional)",L76)</f>
        <v xml:space="preserve">     Entre 100 y 500 SMLMV </v>
      </c>
      <c r="N76" s="133" t="str">
        <f>IF(OR(M76='Tabla Impacto'!$C$11,M76='Tabla Impacto'!$D$11),"Leve",IF(OR(M76='Tabla Impacto'!$C$12,M76='Tabla Impacto'!$D$12),"Menor",IF(OR(M76='Tabla Impacto'!$C$13,M76='Tabla Impacto'!$D$13),"Moderado",IF(OR(M76='Tabla Impacto'!$C$14,M76='Tabla Impacto'!$D$14),"Mayor",IF(OR(M76='Tabla Impacto'!$C$15,M76='Tabla Impacto'!$D$15),"Catastrófico","")))))</f>
        <v>Mayor</v>
      </c>
      <c r="O76" s="134">
        <f t="shared" si="81"/>
        <v>0.8</v>
      </c>
      <c r="P76" s="136" t="str">
        <f t="shared" si="82"/>
        <v>Alto</v>
      </c>
      <c r="Q76" s="137">
        <v>1</v>
      </c>
      <c r="R76" s="156" t="s">
        <v>542</v>
      </c>
      <c r="S76" s="165" t="s">
        <v>391</v>
      </c>
      <c r="T76" s="139" t="str">
        <f t="shared" si="52"/>
        <v>Probabilidad</v>
      </c>
      <c r="U76" s="140" t="s">
        <v>14</v>
      </c>
      <c r="V76" s="140" t="s">
        <v>9</v>
      </c>
      <c r="W76" s="141" t="str">
        <f t="shared" si="53"/>
        <v>40%</v>
      </c>
      <c r="X76" s="140" t="s">
        <v>19</v>
      </c>
      <c r="Y76" s="140" t="s">
        <v>22</v>
      </c>
      <c r="Z76" s="140" t="s">
        <v>120</v>
      </c>
      <c r="AA76" s="142">
        <f t="shared" si="83"/>
        <v>0.36</v>
      </c>
      <c r="AB76" s="143" t="str">
        <f t="shared" si="77"/>
        <v>Baja</v>
      </c>
      <c r="AC76" s="144">
        <f t="shared" si="55"/>
        <v>0.36</v>
      </c>
      <c r="AD76" s="143" t="str">
        <f t="shared" si="84"/>
        <v>Mayor</v>
      </c>
      <c r="AE76" s="144">
        <f t="shared" si="57"/>
        <v>0.8</v>
      </c>
      <c r="AF76" s="145" t="str">
        <f t="shared" ref="AF76" si="87">IFERROR(IF(OR(AND(AB76="Muy Baja",AD76="Leve"),AND(AB76="Muy Baja",AD76="Menor"),AND(AB76="Baja",AD76="Leve")),"Bajo",IF(OR(AND(AB76="Muy baja",AD76="Moderado"),AND(AB76="Baja",AD76="Menor"),AND(AB76="Baja",AD76="Moderado"),AND(AB76="Media",AD76="Leve"),AND(AB76="Media",AD76="Menor"),AND(AB76="Media",AD76="Moderado"),AND(AB76="Alta",AD76="Leve"),AND(AB76="Alta",AD76="Menor")),"Moderado",IF(OR(AND(AB76="Muy Baja",AD76="Mayor"),AND(AB76="Baja",AD76="Mayor"),AND(AB76="Media",AD76="Mayor"),AND(AB76="Alta",AD76="Moderado"),AND(AB76="Alta",AD76="Mayor"),AND(AB76="Muy Alta",AD76="Leve"),AND(AB76="Muy Alta",AD76="Menor"),AND(AB76="Muy Alta",AD76="Moderado"),AND(AB76="Muy Alta",AD76="Mayor")),"Alto",IF(OR(AND(AB76="Muy Baja",AD76="Catastrófico"),AND(AB76="Baja",AD76="Catastrófico"),AND(AB76="Media",AD76="Catastrófico"),AND(AB76="Alta",AD76="Catastrófico"),AND(AB76="Muy Alta",AD76="Catastrófico")),"Extremo","")))),"")</f>
        <v>Alto</v>
      </c>
      <c r="AG76" s="146" t="s">
        <v>31</v>
      </c>
      <c r="AH76" s="147"/>
      <c r="AI76" s="148"/>
      <c r="AJ76" s="149"/>
      <c r="AK76" s="149"/>
      <c r="AL76" s="147"/>
      <c r="AM76" s="150"/>
    </row>
    <row r="77" spans="1:39" ht="121.5" x14ac:dyDescent="0.25">
      <c r="B77" s="198" t="s">
        <v>508</v>
      </c>
      <c r="C77" s="176">
        <v>35</v>
      </c>
      <c r="D77" s="130" t="s">
        <v>132</v>
      </c>
      <c r="E77" s="131" t="s">
        <v>393</v>
      </c>
      <c r="F77" s="131" t="s">
        <v>395</v>
      </c>
      <c r="G77" s="132" t="s">
        <v>397</v>
      </c>
      <c r="H77" s="130" t="s">
        <v>123</v>
      </c>
      <c r="I77" s="153">
        <v>180</v>
      </c>
      <c r="J77" s="133" t="str">
        <f t="shared" si="79"/>
        <v>Media</v>
      </c>
      <c r="K77" s="134">
        <f t="shared" si="80"/>
        <v>0.6</v>
      </c>
      <c r="L77" s="135" t="s">
        <v>146</v>
      </c>
      <c r="M77" s="134" t="str">
        <f>IF(NOT(ISERROR(MATCH(L77,'Tabla Impacto'!$B$221:$B$223,0))),'Tabla Impacto'!$F$223&amp;"Por favor no seleccionar los criterios de impacto(Afectación Económica o presupuestal y Pérdida Reputacional)",L77)</f>
        <v xml:space="preserve">     Entre 50 y 100 SMLMV </v>
      </c>
      <c r="N77" s="133" t="str">
        <f>IF(OR(M77='Tabla Impacto'!$C$11,M77='Tabla Impacto'!$D$11),"Leve",IF(OR(M77='Tabla Impacto'!$C$12,M77='Tabla Impacto'!$D$12),"Menor",IF(OR(M77='Tabla Impacto'!$C$13,M77='Tabla Impacto'!$D$13),"Moderado",IF(OR(M77='Tabla Impacto'!$C$14,M77='Tabla Impacto'!$D$14),"Mayor",IF(OR(M77='Tabla Impacto'!$C$15,M77='Tabla Impacto'!$D$15),"Catastrófico","")))))</f>
        <v>Moderado</v>
      </c>
      <c r="O77" s="134">
        <f t="shared" si="81"/>
        <v>0.6</v>
      </c>
      <c r="P77" s="136" t="str">
        <f t="shared" si="82"/>
        <v>Moderado</v>
      </c>
      <c r="Q77" s="137">
        <v>1</v>
      </c>
      <c r="R77" s="156" t="s">
        <v>520</v>
      </c>
      <c r="S77" s="165" t="s">
        <v>519</v>
      </c>
      <c r="T77" s="139" t="str">
        <f t="shared" si="52"/>
        <v>Probabilidad</v>
      </c>
      <c r="U77" s="140" t="s">
        <v>14</v>
      </c>
      <c r="V77" s="140" t="s">
        <v>9</v>
      </c>
      <c r="W77" s="141" t="str">
        <f t="shared" si="53"/>
        <v>40%</v>
      </c>
      <c r="X77" s="140" t="s">
        <v>19</v>
      </c>
      <c r="Y77" s="140" t="s">
        <v>22</v>
      </c>
      <c r="Z77" s="140" t="s">
        <v>119</v>
      </c>
      <c r="AA77" s="142">
        <f t="shared" si="83"/>
        <v>0.36</v>
      </c>
      <c r="AB77" s="143" t="str">
        <f t="shared" si="77"/>
        <v>Baja</v>
      </c>
      <c r="AC77" s="144">
        <f t="shared" si="55"/>
        <v>0.36</v>
      </c>
      <c r="AD77" s="143" t="str">
        <f t="shared" si="84"/>
        <v>Moderado</v>
      </c>
      <c r="AE77" s="144">
        <f t="shared" si="57"/>
        <v>0.6</v>
      </c>
      <c r="AF77" s="145" t="str">
        <f t="shared" ref="AF77" si="88">IFERROR(IF(OR(AND(AB77="Muy Baja",AD77="Leve"),AND(AB77="Muy Baja",AD77="Menor"),AND(AB77="Baja",AD77="Leve")),"Bajo",IF(OR(AND(AB77="Muy baja",AD77="Moderado"),AND(AB77="Baja",AD77="Menor"),AND(AB77="Baja",AD77="Moderado"),AND(AB77="Media",AD77="Leve"),AND(AB77="Media",AD77="Menor"),AND(AB77="Media",AD77="Moderado"),AND(AB77="Alta",AD77="Leve"),AND(AB77="Alta",AD77="Menor")),"Moderado",IF(OR(AND(AB77="Muy Baja",AD77="Mayor"),AND(AB77="Baja",AD77="Mayor"),AND(AB77="Media",AD77="Mayor"),AND(AB77="Alta",AD77="Moderado"),AND(AB77="Alta",AD77="Mayor"),AND(AB77="Muy Alta",AD77="Leve"),AND(AB77="Muy Alta",AD77="Menor"),AND(AB77="Muy Alta",AD77="Moderado"),AND(AB77="Muy Alta",AD77="Mayor")),"Alto",IF(OR(AND(AB77="Muy Baja",AD77="Catastrófico"),AND(AB77="Baja",AD77="Catastrófico"),AND(AB77="Media",AD77="Catastrófico"),AND(AB77="Alta",AD77="Catastrófico"),AND(AB77="Muy Alta",AD77="Catastrófico")),"Extremo","")))),"")</f>
        <v>Moderado</v>
      </c>
      <c r="AG77" s="146" t="s">
        <v>31</v>
      </c>
      <c r="AH77" s="147"/>
      <c r="AI77" s="148"/>
      <c r="AJ77" s="149"/>
      <c r="AK77" s="149"/>
      <c r="AL77" s="147"/>
      <c r="AM77" s="150"/>
    </row>
    <row r="78" spans="1:39" ht="94.5" x14ac:dyDescent="0.25">
      <c r="B78" s="196"/>
      <c r="C78" s="176">
        <v>36</v>
      </c>
      <c r="D78" s="130" t="s">
        <v>132</v>
      </c>
      <c r="E78" s="131" t="s">
        <v>394</v>
      </c>
      <c r="F78" s="131" t="s">
        <v>396</v>
      </c>
      <c r="G78" s="132" t="s">
        <v>398</v>
      </c>
      <c r="H78" s="130" t="s">
        <v>123</v>
      </c>
      <c r="I78" s="153">
        <v>60</v>
      </c>
      <c r="J78" s="133" t="str">
        <f t="shared" si="79"/>
        <v>Media</v>
      </c>
      <c r="K78" s="134">
        <f t="shared" si="80"/>
        <v>0.6</v>
      </c>
      <c r="L78" s="135" t="s">
        <v>147</v>
      </c>
      <c r="M78" s="134" t="str">
        <f>IF(NOT(ISERROR(MATCH(L78,'Tabla Impacto'!$B$221:$B$223,0))),'Tabla Impacto'!$F$223&amp;"Por favor no seleccionar los criterios de impacto(Afectación Económica o presupuestal y Pérdida Reputacional)",L78)</f>
        <v xml:space="preserve">     Entre 10 y 50 SMLMV </v>
      </c>
      <c r="N78" s="133" t="str">
        <f>IF(OR(M78='Tabla Impacto'!$C$11,M78='Tabla Impacto'!$D$11),"Leve",IF(OR(M78='Tabla Impacto'!$C$12,M78='Tabla Impacto'!$D$12),"Menor",IF(OR(M78='Tabla Impacto'!$C$13,M78='Tabla Impacto'!$D$13),"Moderado",IF(OR(M78='Tabla Impacto'!$C$14,M78='Tabla Impacto'!$D$14),"Mayor",IF(OR(M78='Tabla Impacto'!$C$15,M78='Tabla Impacto'!$D$15),"Catastrófico","")))))</f>
        <v>Menor</v>
      </c>
      <c r="O78" s="134">
        <f t="shared" si="81"/>
        <v>0.4</v>
      </c>
      <c r="P78" s="136" t="str">
        <f t="shared" si="82"/>
        <v>Moderado</v>
      </c>
      <c r="Q78" s="137">
        <v>1</v>
      </c>
      <c r="R78" s="156" t="s">
        <v>413</v>
      </c>
      <c r="S78" s="165" t="s">
        <v>521</v>
      </c>
      <c r="T78" s="139" t="str">
        <f t="shared" si="52"/>
        <v>Probabilidad</v>
      </c>
      <c r="U78" s="140" t="s">
        <v>14</v>
      </c>
      <c r="V78" s="140" t="s">
        <v>9</v>
      </c>
      <c r="W78" s="141" t="str">
        <f t="shared" si="53"/>
        <v>40%</v>
      </c>
      <c r="X78" s="140" t="s">
        <v>19</v>
      </c>
      <c r="Y78" s="140" t="s">
        <v>22</v>
      </c>
      <c r="Z78" s="140" t="s">
        <v>120</v>
      </c>
      <c r="AA78" s="142">
        <f t="shared" si="83"/>
        <v>0.36</v>
      </c>
      <c r="AB78" s="143" t="str">
        <f t="shared" si="77"/>
        <v>Baja</v>
      </c>
      <c r="AC78" s="144">
        <f t="shared" si="55"/>
        <v>0.36</v>
      </c>
      <c r="AD78" s="143" t="str">
        <f t="shared" si="84"/>
        <v>Menor</v>
      </c>
      <c r="AE78" s="144">
        <f t="shared" si="57"/>
        <v>0.4</v>
      </c>
      <c r="AF78" s="145" t="str">
        <f t="shared" ref="AF78" si="89">IFERROR(IF(OR(AND(AB78="Muy Baja",AD78="Leve"),AND(AB78="Muy Baja",AD78="Menor"),AND(AB78="Baja",AD78="Leve")),"Bajo",IF(OR(AND(AB78="Muy baja",AD78="Moderado"),AND(AB78="Baja",AD78="Menor"),AND(AB78="Baja",AD78="Moderado"),AND(AB78="Media",AD78="Leve"),AND(AB78="Media",AD78="Menor"),AND(AB78="Media",AD78="Moderado"),AND(AB78="Alta",AD78="Leve"),AND(AB78="Alta",AD78="Menor")),"Moderado",IF(OR(AND(AB78="Muy Baja",AD78="Mayor"),AND(AB78="Baja",AD78="Mayor"),AND(AB78="Media",AD78="Mayor"),AND(AB78="Alta",AD78="Moderado"),AND(AB78="Alta",AD78="Mayor"),AND(AB78="Muy Alta",AD78="Leve"),AND(AB78="Muy Alta",AD78="Menor"),AND(AB78="Muy Alta",AD78="Moderado"),AND(AB78="Muy Alta",AD78="Mayor")),"Alto",IF(OR(AND(AB78="Muy Baja",AD78="Catastrófico"),AND(AB78="Baja",AD78="Catastrófico"),AND(AB78="Media",AD78="Catastrófico"),AND(AB78="Alta",AD78="Catastrófico"),AND(AB78="Muy Alta",AD78="Catastrófico")),"Extremo","")))),"")</f>
        <v>Moderado</v>
      </c>
      <c r="AG78" s="146" t="s">
        <v>31</v>
      </c>
      <c r="AH78" s="147"/>
      <c r="AI78" s="148"/>
      <c r="AJ78" s="149"/>
      <c r="AK78" s="149"/>
      <c r="AL78" s="147"/>
      <c r="AM78" s="150"/>
    </row>
    <row r="79" spans="1:39" ht="162" x14ac:dyDescent="0.25">
      <c r="B79" s="196"/>
      <c r="C79" s="176">
        <v>37</v>
      </c>
      <c r="D79" s="130" t="s">
        <v>133</v>
      </c>
      <c r="E79" s="131" t="s">
        <v>399</v>
      </c>
      <c r="F79" s="131" t="s">
        <v>401</v>
      </c>
      <c r="G79" s="132" t="s">
        <v>403</v>
      </c>
      <c r="H79" s="130" t="s">
        <v>123</v>
      </c>
      <c r="I79" s="153">
        <v>1</v>
      </c>
      <c r="J79" s="133" t="str">
        <f t="shared" si="79"/>
        <v>Muy Baja</v>
      </c>
      <c r="K79" s="134">
        <f t="shared" si="80"/>
        <v>0.2</v>
      </c>
      <c r="L79" s="135" t="s">
        <v>153</v>
      </c>
      <c r="M79" s="134" t="str">
        <f>IF(NOT(ISERROR(MATCH(L79,'Tabla Impacto'!$B$221:$B$223,0))),'Tabla Impacto'!$F$223&amp;"Por favor no seleccionar los criterios de impacto(Afectación Económica o presupuestal y Pérdida Reputacional)",L79)</f>
        <v xml:space="preserve">     El riesgo afecta la imagen de de la entidad con efecto publicitario sostenido a nivel de sector administrativo, nivel departamental o municipal</v>
      </c>
      <c r="N79" s="133" t="str">
        <f>IF(OR(M79='Tabla Impacto'!$C$11,M79='Tabla Impacto'!$D$11),"Leve",IF(OR(M79='Tabla Impacto'!$C$12,M79='Tabla Impacto'!$D$12),"Menor",IF(OR(M79='Tabla Impacto'!$C$13,M79='Tabla Impacto'!$D$13),"Moderado",IF(OR(M79='Tabla Impacto'!$C$14,M79='Tabla Impacto'!$D$14),"Mayor",IF(OR(M79='Tabla Impacto'!$C$15,M79='Tabla Impacto'!$D$15),"Catastrófico","")))))</f>
        <v>Mayor</v>
      </c>
      <c r="O79" s="134">
        <f t="shared" si="81"/>
        <v>0.8</v>
      </c>
      <c r="P79" s="136" t="str">
        <f t="shared" si="82"/>
        <v>Alto</v>
      </c>
      <c r="Q79" s="137">
        <v>1</v>
      </c>
      <c r="R79" s="156" t="s">
        <v>413</v>
      </c>
      <c r="S79" s="165" t="s">
        <v>522</v>
      </c>
      <c r="T79" s="139" t="str">
        <f t="shared" si="52"/>
        <v>Probabilidad</v>
      </c>
      <c r="U79" s="140" t="s">
        <v>14</v>
      </c>
      <c r="V79" s="140" t="s">
        <v>9</v>
      </c>
      <c r="W79" s="141" t="str">
        <f t="shared" si="53"/>
        <v>40%</v>
      </c>
      <c r="X79" s="140" t="s">
        <v>19</v>
      </c>
      <c r="Y79" s="140" t="s">
        <v>23</v>
      </c>
      <c r="Z79" s="140" t="s">
        <v>119</v>
      </c>
      <c r="AA79" s="142">
        <f t="shared" si="83"/>
        <v>0.12</v>
      </c>
      <c r="AB79" s="143" t="str">
        <f t="shared" si="77"/>
        <v>Muy Baja</v>
      </c>
      <c r="AC79" s="144">
        <f t="shared" si="55"/>
        <v>0.12</v>
      </c>
      <c r="AD79" s="143" t="str">
        <f t="shared" si="84"/>
        <v>Mayor</v>
      </c>
      <c r="AE79" s="144">
        <f t="shared" si="57"/>
        <v>0.8</v>
      </c>
      <c r="AF79" s="145" t="str">
        <f t="shared" ref="AF79" si="90">IFERROR(IF(OR(AND(AB79="Muy Baja",AD79="Leve"),AND(AB79="Muy Baja",AD79="Menor"),AND(AB79="Baja",AD79="Leve")),"Bajo",IF(OR(AND(AB79="Muy baja",AD79="Moderado"),AND(AB79="Baja",AD79="Menor"),AND(AB79="Baja",AD79="Moderado"),AND(AB79="Media",AD79="Leve"),AND(AB79="Media",AD79="Menor"),AND(AB79="Media",AD79="Moderado"),AND(AB79="Alta",AD79="Leve"),AND(AB79="Alta",AD79="Menor")),"Moderado",IF(OR(AND(AB79="Muy Baja",AD79="Mayor"),AND(AB79="Baja",AD79="Mayor"),AND(AB79="Media",AD79="Mayor"),AND(AB79="Alta",AD79="Moderado"),AND(AB79="Alta",AD79="Mayor"),AND(AB79="Muy Alta",AD79="Leve"),AND(AB79="Muy Alta",AD79="Menor"),AND(AB79="Muy Alta",AD79="Moderado"),AND(AB79="Muy Alta",AD79="Mayor")),"Alto",IF(OR(AND(AB79="Muy Baja",AD79="Catastrófico"),AND(AB79="Baja",AD79="Catastrófico"),AND(AB79="Media",AD79="Catastrófico"),AND(AB79="Alta",AD79="Catastrófico"),AND(AB79="Muy Alta",AD79="Catastrófico")),"Extremo","")))),"")</f>
        <v>Alto</v>
      </c>
      <c r="AG79" s="146" t="s">
        <v>135</v>
      </c>
      <c r="AH79" s="147"/>
      <c r="AI79" s="148"/>
      <c r="AJ79" s="149"/>
      <c r="AK79" s="149"/>
      <c r="AL79" s="147"/>
      <c r="AM79" s="150"/>
    </row>
    <row r="80" spans="1:39" ht="148.5" x14ac:dyDescent="0.25">
      <c r="B80" s="196"/>
      <c r="C80" s="176">
        <v>38</v>
      </c>
      <c r="D80" s="130" t="s">
        <v>132</v>
      </c>
      <c r="E80" s="131" t="s">
        <v>400</v>
      </c>
      <c r="F80" s="131" t="s">
        <v>402</v>
      </c>
      <c r="G80" s="132" t="s">
        <v>404</v>
      </c>
      <c r="H80" s="130" t="s">
        <v>123</v>
      </c>
      <c r="I80" s="153">
        <v>5</v>
      </c>
      <c r="J80" s="133" t="str">
        <f t="shared" si="79"/>
        <v>Baja</v>
      </c>
      <c r="K80" s="134">
        <f t="shared" si="80"/>
        <v>0.4</v>
      </c>
      <c r="L80" s="135" t="s">
        <v>146</v>
      </c>
      <c r="M80" s="134" t="str">
        <f>IF(NOT(ISERROR(MATCH(L80,'Tabla Impacto'!$B$221:$B$223,0))),'Tabla Impacto'!$F$223&amp;"Por favor no seleccionar los criterios de impacto(Afectación Económica o presupuestal y Pérdida Reputacional)",L80)</f>
        <v xml:space="preserve">     Entre 50 y 100 SMLMV </v>
      </c>
      <c r="N80" s="133" t="str">
        <f>IF(OR(M80='Tabla Impacto'!$C$11,M80='Tabla Impacto'!$D$11),"Leve",IF(OR(M80='Tabla Impacto'!$C$12,M80='Tabla Impacto'!$D$12),"Menor",IF(OR(M80='Tabla Impacto'!$C$13,M80='Tabla Impacto'!$D$13),"Moderado",IF(OR(M80='Tabla Impacto'!$C$14,M80='Tabla Impacto'!$D$14),"Mayor",IF(OR(M80='Tabla Impacto'!$C$15,M80='Tabla Impacto'!$D$15),"Catastrófico","")))))</f>
        <v>Moderado</v>
      </c>
      <c r="O80" s="134">
        <f t="shared" si="81"/>
        <v>0.6</v>
      </c>
      <c r="P80" s="136" t="str">
        <f t="shared" si="82"/>
        <v>Moderado</v>
      </c>
      <c r="Q80" s="137">
        <v>1</v>
      </c>
      <c r="R80" s="156" t="s">
        <v>413</v>
      </c>
      <c r="S80" s="165" t="s">
        <v>523</v>
      </c>
      <c r="T80" s="139" t="str">
        <f t="shared" ref="T80:T81" si="91">IF(OR(U80="Preventivo",U80="Detectivo"),"Probabilidad",IF(U80="Correctivo","Impacto",""))</f>
        <v>Probabilidad</v>
      </c>
      <c r="U80" s="140" t="s">
        <v>14</v>
      </c>
      <c r="V80" s="140" t="s">
        <v>9</v>
      </c>
      <c r="W80" s="141" t="str">
        <f t="shared" ref="W80:W81" si="92">IF(AND(U80="Preventivo",V80="Automático"),"50%",IF(AND(U80="Preventivo",V80="Manual"),"40%",IF(AND(U80="Detectivo",V80="Automático"),"40%",IF(AND(U80="Detectivo",V80="Manual"),"30%",IF(AND(U80="Correctivo",V80="Automático"),"35%",IF(AND(U80="Correctivo",V80="Manual"),"25%",""))))))</f>
        <v>40%</v>
      </c>
      <c r="X80" s="140" t="s">
        <v>19</v>
      </c>
      <c r="Y80" s="140" t="s">
        <v>23</v>
      </c>
      <c r="Z80" s="140" t="s">
        <v>119</v>
      </c>
      <c r="AA80" s="142">
        <f t="shared" si="83"/>
        <v>0.24</v>
      </c>
      <c r="AB80" s="143" t="str">
        <f t="shared" si="77"/>
        <v>Baja</v>
      </c>
      <c r="AC80" s="144">
        <f t="shared" ref="AC80:AC81" si="93">+AA80</f>
        <v>0.24</v>
      </c>
      <c r="AD80" s="143" t="str">
        <f t="shared" si="84"/>
        <v>Moderado</v>
      </c>
      <c r="AE80" s="144">
        <f t="shared" ref="AE80:AE81" si="94">IFERROR(IF(T80="Impacto",(O80-(+O80*W80)),IF(T80="Probabilidad",O80,"")),"")</f>
        <v>0.6</v>
      </c>
      <c r="AF80" s="145" t="str">
        <f t="shared" ref="AF80" si="95">IFERROR(IF(OR(AND(AB80="Muy Baja",AD80="Leve"),AND(AB80="Muy Baja",AD80="Menor"),AND(AB80="Baja",AD80="Leve")),"Bajo",IF(OR(AND(AB80="Muy baja",AD80="Moderado"),AND(AB80="Baja",AD80="Menor"),AND(AB80="Baja",AD80="Moderado"),AND(AB80="Media",AD80="Leve"),AND(AB80="Media",AD80="Menor"),AND(AB80="Media",AD80="Moderado"),AND(AB80="Alta",AD80="Leve"),AND(AB80="Alta",AD80="Menor")),"Moderado",IF(OR(AND(AB80="Muy Baja",AD80="Mayor"),AND(AB80="Baja",AD80="Mayor"),AND(AB80="Media",AD80="Mayor"),AND(AB80="Alta",AD80="Moderado"),AND(AB80="Alta",AD80="Mayor"),AND(AB80="Muy Alta",AD80="Leve"),AND(AB80="Muy Alta",AD80="Menor"),AND(AB80="Muy Alta",AD80="Moderado"),AND(AB80="Muy Alta",AD80="Mayor")),"Alto",IF(OR(AND(AB80="Muy Baja",AD80="Catastrófico"),AND(AB80="Baja",AD80="Catastrófico"),AND(AB80="Media",AD80="Catastrófico"),AND(AB80="Alta",AD80="Catastrófico"),AND(AB80="Muy Alta",AD80="Catastrófico")),"Extremo","")))),"")</f>
        <v>Moderado</v>
      </c>
      <c r="AG80" s="146" t="s">
        <v>31</v>
      </c>
      <c r="AH80" s="147"/>
      <c r="AI80" s="148"/>
      <c r="AJ80" s="149"/>
      <c r="AK80" s="149"/>
      <c r="AL80" s="147"/>
      <c r="AM80" s="150"/>
    </row>
    <row r="81" spans="2:39" ht="148.5" x14ac:dyDescent="0.25">
      <c r="B81" s="196"/>
      <c r="C81" s="176">
        <v>39</v>
      </c>
      <c r="D81" s="130" t="s">
        <v>132</v>
      </c>
      <c r="E81" s="131" t="s">
        <v>405</v>
      </c>
      <c r="F81" s="131" t="s">
        <v>407</v>
      </c>
      <c r="G81" s="132" t="s">
        <v>409</v>
      </c>
      <c r="H81" s="130" t="s">
        <v>123</v>
      </c>
      <c r="I81" s="153">
        <v>150</v>
      </c>
      <c r="J81" s="133" t="str">
        <f t="shared" si="79"/>
        <v>Media</v>
      </c>
      <c r="K81" s="134">
        <f t="shared" si="80"/>
        <v>0.6</v>
      </c>
      <c r="L81" s="135" t="s">
        <v>146</v>
      </c>
      <c r="M81" s="134" t="str">
        <f>IF(NOT(ISERROR(MATCH(L81,'Tabla Impacto'!$B$221:$B$223,0))),'Tabla Impacto'!$F$223&amp;"Por favor no seleccionar los criterios de impacto(Afectación Económica o presupuestal y Pérdida Reputacional)",L81)</f>
        <v xml:space="preserve">     Entre 50 y 100 SMLMV </v>
      </c>
      <c r="N81" s="133" t="str">
        <f>IF(OR(M81='Tabla Impacto'!$C$11,M81='Tabla Impacto'!$D$11),"Leve",IF(OR(M81='Tabla Impacto'!$C$12,M81='Tabla Impacto'!$D$12),"Menor",IF(OR(M81='Tabla Impacto'!$C$13,M81='Tabla Impacto'!$D$13),"Moderado",IF(OR(M81='Tabla Impacto'!$C$14,M81='Tabla Impacto'!$D$14),"Mayor",IF(OR(M81='Tabla Impacto'!$C$15,M81='Tabla Impacto'!$D$15),"Catastrófico","")))))</f>
        <v>Moderado</v>
      </c>
      <c r="O81" s="134">
        <f t="shared" si="81"/>
        <v>0.6</v>
      </c>
      <c r="P81" s="136" t="str">
        <f t="shared" si="82"/>
        <v>Moderado</v>
      </c>
      <c r="Q81" s="137">
        <v>1</v>
      </c>
      <c r="R81" s="156" t="s">
        <v>413</v>
      </c>
      <c r="S81" s="165" t="s">
        <v>411</v>
      </c>
      <c r="T81" s="139" t="str">
        <f t="shared" si="91"/>
        <v>Probabilidad</v>
      </c>
      <c r="U81" s="140" t="s">
        <v>14</v>
      </c>
      <c r="V81" s="140" t="s">
        <v>9</v>
      </c>
      <c r="W81" s="141" t="str">
        <f t="shared" si="92"/>
        <v>40%</v>
      </c>
      <c r="X81" s="140" t="s">
        <v>19</v>
      </c>
      <c r="Y81" s="140" t="s">
        <v>23</v>
      </c>
      <c r="Z81" s="140" t="s">
        <v>119</v>
      </c>
      <c r="AA81" s="142">
        <f t="shared" si="83"/>
        <v>0.36</v>
      </c>
      <c r="AB81" s="143" t="str">
        <f t="shared" si="77"/>
        <v>Baja</v>
      </c>
      <c r="AC81" s="144">
        <f t="shared" si="93"/>
        <v>0.36</v>
      </c>
      <c r="AD81" s="143" t="str">
        <f t="shared" si="84"/>
        <v>Moderado</v>
      </c>
      <c r="AE81" s="144">
        <f t="shared" si="94"/>
        <v>0.6</v>
      </c>
      <c r="AF81" s="145" t="str">
        <f t="shared" ref="AF81" si="96">IFERROR(IF(OR(AND(AB81="Muy Baja",AD81="Leve"),AND(AB81="Muy Baja",AD81="Menor"),AND(AB81="Baja",AD81="Leve")),"Bajo",IF(OR(AND(AB81="Muy baja",AD81="Moderado"),AND(AB81="Baja",AD81="Menor"),AND(AB81="Baja",AD81="Moderado"),AND(AB81="Media",AD81="Leve"),AND(AB81="Media",AD81="Menor"),AND(AB81="Media",AD81="Moderado"),AND(AB81="Alta",AD81="Leve"),AND(AB81="Alta",AD81="Menor")),"Moderado",IF(OR(AND(AB81="Muy Baja",AD81="Mayor"),AND(AB81="Baja",AD81="Mayor"),AND(AB81="Media",AD81="Mayor"),AND(AB81="Alta",AD81="Moderado"),AND(AB81="Alta",AD81="Mayor"),AND(AB81="Muy Alta",AD81="Leve"),AND(AB81="Muy Alta",AD81="Menor"),AND(AB81="Muy Alta",AD81="Moderado"),AND(AB81="Muy Alta",AD81="Mayor")),"Alto",IF(OR(AND(AB81="Muy Baja",AD81="Catastrófico"),AND(AB81="Baja",AD81="Catastrófico"),AND(AB81="Media",AD81="Catastrófico"),AND(AB81="Alta",AD81="Catastrófico"),AND(AB81="Muy Alta",AD81="Catastrófico")),"Extremo","")))),"")</f>
        <v>Moderado</v>
      </c>
      <c r="AG81" s="146" t="s">
        <v>31</v>
      </c>
      <c r="AH81" s="147"/>
      <c r="AI81" s="148"/>
      <c r="AJ81" s="149"/>
      <c r="AK81" s="149"/>
      <c r="AL81" s="147"/>
      <c r="AM81" s="150"/>
    </row>
    <row r="82" spans="2:39" ht="176.25" thickBot="1" x14ac:dyDescent="0.3">
      <c r="B82" s="197"/>
      <c r="C82" s="176">
        <v>40</v>
      </c>
      <c r="D82" s="130" t="s">
        <v>133</v>
      </c>
      <c r="E82" s="131" t="s">
        <v>406</v>
      </c>
      <c r="F82" s="131" t="s">
        <v>408</v>
      </c>
      <c r="G82" s="132" t="s">
        <v>410</v>
      </c>
      <c r="H82" s="130" t="s">
        <v>125</v>
      </c>
      <c r="I82" s="153">
        <v>180</v>
      </c>
      <c r="J82" s="133" t="str">
        <f t="shared" si="79"/>
        <v>Media</v>
      </c>
      <c r="K82" s="134">
        <f t="shared" si="80"/>
        <v>0.6</v>
      </c>
      <c r="L82" s="135" t="s">
        <v>146</v>
      </c>
      <c r="M82" s="134" t="str">
        <f>IF(NOT(ISERROR(MATCH(L82,'Tabla Impacto'!$B$221:$B$223,0))),'Tabla Impacto'!$F$223&amp;"Por favor no seleccionar los criterios de impacto(Afectación Económica o presupuestal y Pérdida Reputacional)",L82)</f>
        <v xml:space="preserve">     Entre 50 y 100 SMLMV </v>
      </c>
      <c r="N82" s="133" t="str">
        <f>IF(OR(M82='Tabla Impacto'!$C$11,M82='Tabla Impacto'!$D$11),"Leve",IF(OR(M82='Tabla Impacto'!$C$12,M82='Tabla Impacto'!$D$12),"Menor",IF(OR(M82='Tabla Impacto'!$C$13,M82='Tabla Impacto'!$D$13),"Moderado",IF(OR(M82='Tabla Impacto'!$C$14,M82='Tabla Impacto'!$D$14),"Mayor",IF(OR(M82='Tabla Impacto'!$C$15,M82='Tabla Impacto'!$D$15),"Catastrófico","")))))</f>
        <v>Moderado</v>
      </c>
      <c r="O82" s="134">
        <f t="shared" si="81"/>
        <v>0.6</v>
      </c>
      <c r="P82" s="136" t="str">
        <f t="shared" si="82"/>
        <v>Moderado</v>
      </c>
      <c r="Q82" s="137">
        <v>1</v>
      </c>
      <c r="R82" s="156" t="s">
        <v>524</v>
      </c>
      <c r="S82" s="165" t="s">
        <v>412</v>
      </c>
      <c r="T82" s="139" t="str">
        <f t="shared" ref="T82:T87" si="97">IF(OR(U82="Preventivo",U82="Detectivo"),"Probabilidad",IF(U82="Correctivo","Impacto",""))</f>
        <v>Probabilidad</v>
      </c>
      <c r="U82" s="140" t="s">
        <v>14</v>
      </c>
      <c r="V82" s="140" t="s">
        <v>9</v>
      </c>
      <c r="W82" s="141" t="str">
        <f t="shared" ref="W82:W87" si="98">IF(AND(U82="Preventivo",V82="Automático"),"50%",IF(AND(U82="Preventivo",V82="Manual"),"40%",IF(AND(U82="Detectivo",V82="Automático"),"40%",IF(AND(U82="Detectivo",V82="Manual"),"30%",IF(AND(U82="Correctivo",V82="Automático"),"35%",IF(AND(U82="Correctivo",V82="Manual"),"25%",""))))))</f>
        <v>40%</v>
      </c>
      <c r="X82" s="140" t="s">
        <v>19</v>
      </c>
      <c r="Y82" s="140" t="s">
        <v>22</v>
      </c>
      <c r="Z82" s="140" t="s">
        <v>119</v>
      </c>
      <c r="AA82" s="142">
        <f t="shared" si="83"/>
        <v>0.36</v>
      </c>
      <c r="AB82" s="143" t="str">
        <f t="shared" si="77"/>
        <v>Baja</v>
      </c>
      <c r="AC82" s="144">
        <f t="shared" ref="AC82:AC87" si="99">+AA82</f>
        <v>0.36</v>
      </c>
      <c r="AD82" s="143" t="str">
        <f t="shared" si="84"/>
        <v>Moderado</v>
      </c>
      <c r="AE82" s="144">
        <f t="shared" ref="AE82:AE87" si="100">IFERROR(IF(T82="Impacto",(O82-(+O82*W82)),IF(T82="Probabilidad",O82,"")),"")</f>
        <v>0.6</v>
      </c>
      <c r="AF82" s="145" t="str">
        <f t="shared" ref="AF82" si="101">IFERROR(IF(OR(AND(AB82="Muy Baja",AD82="Leve"),AND(AB82="Muy Baja",AD82="Menor"),AND(AB82="Baja",AD82="Leve")),"Bajo",IF(OR(AND(AB82="Muy baja",AD82="Moderado"),AND(AB82="Baja",AD82="Menor"),AND(AB82="Baja",AD82="Moderado"),AND(AB82="Media",AD82="Leve"),AND(AB82="Media",AD82="Menor"),AND(AB82="Media",AD82="Moderado"),AND(AB82="Alta",AD82="Leve"),AND(AB82="Alta",AD82="Menor")),"Moderado",IF(OR(AND(AB82="Muy Baja",AD82="Mayor"),AND(AB82="Baja",AD82="Mayor"),AND(AB82="Media",AD82="Mayor"),AND(AB82="Alta",AD82="Moderado"),AND(AB82="Alta",AD82="Mayor"),AND(AB82="Muy Alta",AD82="Leve"),AND(AB82="Muy Alta",AD82="Menor"),AND(AB82="Muy Alta",AD82="Moderado"),AND(AB82="Muy Alta",AD82="Mayor")),"Alto",IF(OR(AND(AB82="Muy Baja",AD82="Catastrófico"),AND(AB82="Baja",AD82="Catastrófico"),AND(AB82="Media",AD82="Catastrófico"),AND(AB82="Alta",AD82="Catastrófico"),AND(AB82="Muy Alta",AD82="Catastrófico")),"Extremo","")))),"")</f>
        <v>Moderado</v>
      </c>
      <c r="AG82" s="146" t="s">
        <v>31</v>
      </c>
      <c r="AH82" s="147"/>
      <c r="AI82" s="148"/>
      <c r="AJ82" s="149"/>
      <c r="AK82" s="149"/>
      <c r="AL82" s="147"/>
      <c r="AM82" s="150"/>
    </row>
    <row r="83" spans="2:39" ht="135" x14ac:dyDescent="0.25">
      <c r="B83" s="201" t="s">
        <v>509</v>
      </c>
      <c r="C83" s="288">
        <v>41</v>
      </c>
      <c r="D83" s="290" t="s">
        <v>133</v>
      </c>
      <c r="E83" s="292" t="s">
        <v>414</v>
      </c>
      <c r="F83" s="292" t="s">
        <v>415</v>
      </c>
      <c r="G83" s="294" t="s">
        <v>416</v>
      </c>
      <c r="H83" s="290" t="s">
        <v>129</v>
      </c>
      <c r="I83" s="296">
        <v>300</v>
      </c>
      <c r="J83" s="280" t="str">
        <f t="shared" si="79"/>
        <v>Media</v>
      </c>
      <c r="K83" s="278">
        <f t="shared" si="80"/>
        <v>0.6</v>
      </c>
      <c r="L83" s="276" t="s">
        <v>146</v>
      </c>
      <c r="M83" s="278" t="str">
        <f>IF(NOT(ISERROR(MATCH(L83,'Tabla Impacto'!$B$221:$B$223,0))),'Tabla Impacto'!$F$223&amp;"Por favor no seleccionar los criterios de impacto(Afectación Económica o presupuestal y Pérdida Reputacional)",L83)</f>
        <v xml:space="preserve">     Entre 50 y 100 SMLMV </v>
      </c>
      <c r="N83" s="280" t="str">
        <f>IF(OR(M83='Tabla Impacto'!$C$11,M83='Tabla Impacto'!$D$11),"Leve",IF(OR(M83='Tabla Impacto'!$C$12,M83='Tabla Impacto'!$D$12),"Menor",IF(OR(M83='Tabla Impacto'!$C$13,M83='Tabla Impacto'!$D$13),"Moderado",IF(OR(M83='Tabla Impacto'!$C$14,M83='Tabla Impacto'!$D$14),"Mayor",IF(OR(M83='Tabla Impacto'!$C$15,M83='Tabla Impacto'!$D$15),"Catastrófico","")))))</f>
        <v>Moderado</v>
      </c>
      <c r="O83" s="278">
        <f t="shared" si="81"/>
        <v>0.6</v>
      </c>
      <c r="P83" s="282" t="str">
        <f t="shared" si="82"/>
        <v>Moderado</v>
      </c>
      <c r="Q83" s="137">
        <v>1</v>
      </c>
      <c r="R83" s="156" t="s">
        <v>431</v>
      </c>
      <c r="S83" s="165" t="s">
        <v>417</v>
      </c>
      <c r="T83" s="139" t="str">
        <f t="shared" si="97"/>
        <v>Probabilidad</v>
      </c>
      <c r="U83" s="140" t="s">
        <v>14</v>
      </c>
      <c r="V83" s="140" t="s">
        <v>9</v>
      </c>
      <c r="W83" s="141" t="str">
        <f t="shared" si="98"/>
        <v>40%</v>
      </c>
      <c r="X83" s="140" t="s">
        <v>19</v>
      </c>
      <c r="Y83" s="140" t="s">
        <v>22</v>
      </c>
      <c r="Z83" s="140" t="s">
        <v>119</v>
      </c>
      <c r="AA83" s="142">
        <f t="shared" si="83"/>
        <v>0.36</v>
      </c>
      <c r="AB83" s="143" t="str">
        <f t="shared" si="77"/>
        <v>Baja</v>
      </c>
      <c r="AC83" s="144">
        <f t="shared" si="99"/>
        <v>0.36</v>
      </c>
      <c r="AD83" s="143" t="str">
        <f t="shared" si="84"/>
        <v>Moderado</v>
      </c>
      <c r="AE83" s="144">
        <f t="shared" si="100"/>
        <v>0.6</v>
      </c>
      <c r="AF83" s="145" t="str">
        <f t="shared" ref="AF83:AF84" si="102">IFERROR(IF(OR(AND(AB83="Muy Baja",AD83="Leve"),AND(AB83="Muy Baja",AD83="Menor"),AND(AB83="Baja",AD83="Leve")),"Bajo",IF(OR(AND(AB83="Muy baja",AD83="Moderado"),AND(AB83="Baja",AD83="Menor"),AND(AB83="Baja",AD83="Moderado"),AND(AB83="Media",AD83="Leve"),AND(AB83="Media",AD83="Menor"),AND(AB83="Media",AD83="Moderado"),AND(AB83="Alta",AD83="Leve"),AND(AB83="Alta",AD83="Menor")),"Moderado",IF(OR(AND(AB83="Muy Baja",AD83="Mayor"),AND(AB83="Baja",AD83="Mayor"),AND(AB83="Media",AD83="Mayor"),AND(AB83="Alta",AD83="Moderado"),AND(AB83="Alta",AD83="Mayor"),AND(AB83="Muy Alta",AD83="Leve"),AND(AB83="Muy Alta",AD83="Menor"),AND(AB83="Muy Alta",AD83="Moderado"),AND(AB83="Muy Alta",AD83="Mayor")),"Alto",IF(OR(AND(AB83="Muy Baja",AD83="Catastrófico"),AND(AB83="Baja",AD83="Catastrófico"),AND(AB83="Media",AD83="Catastrófico"),AND(AB83="Alta",AD83="Catastrófico"),AND(AB83="Muy Alta",AD83="Catastrófico")),"Extremo","")))),"")</f>
        <v>Moderado</v>
      </c>
      <c r="AG83" s="146" t="s">
        <v>31</v>
      </c>
      <c r="AH83" s="147"/>
      <c r="AI83" s="148"/>
      <c r="AJ83" s="149"/>
      <c r="AK83" s="149"/>
      <c r="AL83" s="147"/>
      <c r="AM83" s="150"/>
    </row>
    <row r="84" spans="2:39" ht="82.5" x14ac:dyDescent="0.25">
      <c r="B84" s="202"/>
      <c r="C84" s="289"/>
      <c r="D84" s="291"/>
      <c r="E84" s="293"/>
      <c r="F84" s="293"/>
      <c r="G84" s="295"/>
      <c r="H84" s="291"/>
      <c r="I84" s="297"/>
      <c r="J84" s="281"/>
      <c r="K84" s="279"/>
      <c r="L84" s="277"/>
      <c r="M84" s="279">
        <f>IF(NOT(ISERROR(MATCH(L84,_xlfn.ANCHORARRAY(#REF!),0))),#REF!&amp;"Por favor no seleccionar los criterios de impacto",L84)</f>
        <v>0</v>
      </c>
      <c r="N84" s="281"/>
      <c r="O84" s="279"/>
      <c r="P84" s="283"/>
      <c r="Q84" s="137">
        <v>2</v>
      </c>
      <c r="R84" s="156" t="s">
        <v>431</v>
      </c>
      <c r="S84" s="165" t="s">
        <v>418</v>
      </c>
      <c r="T84" s="139" t="str">
        <f t="shared" si="97"/>
        <v>Probabilidad</v>
      </c>
      <c r="U84" s="140" t="s">
        <v>14</v>
      </c>
      <c r="V84" s="140" t="s">
        <v>9</v>
      </c>
      <c r="W84" s="141" t="str">
        <f t="shared" si="98"/>
        <v>40%</v>
      </c>
      <c r="X84" s="140" t="s">
        <v>20</v>
      </c>
      <c r="Y84" s="140" t="s">
        <v>22</v>
      </c>
      <c r="Z84" s="140" t="s">
        <v>120</v>
      </c>
      <c r="AA84" s="142">
        <f>IFERROR(IF(T84="Probabilidad",(K84-(+K84*W84)),IF(T84="Impacto",K84,"")),"")</f>
        <v>0</v>
      </c>
      <c r="AB84" s="143" t="str">
        <f t="shared" si="77"/>
        <v>Muy Baja</v>
      </c>
      <c r="AC84" s="144">
        <f t="shared" si="99"/>
        <v>0</v>
      </c>
      <c r="AD84" s="143" t="str">
        <f t="shared" si="84"/>
        <v>Leve</v>
      </c>
      <c r="AE84" s="144">
        <f t="shared" si="100"/>
        <v>0</v>
      </c>
      <c r="AF84" s="145" t="str">
        <f t="shared" si="102"/>
        <v>Bajo</v>
      </c>
      <c r="AG84" s="146" t="s">
        <v>31</v>
      </c>
      <c r="AH84" s="147"/>
      <c r="AI84" s="148"/>
      <c r="AJ84" s="149"/>
      <c r="AK84" s="149"/>
      <c r="AL84" s="147"/>
      <c r="AM84" s="150"/>
    </row>
    <row r="85" spans="2:39" ht="121.5" x14ac:dyDescent="0.25">
      <c r="B85" s="202"/>
      <c r="C85" s="176">
        <v>42</v>
      </c>
      <c r="D85" s="130" t="s">
        <v>132</v>
      </c>
      <c r="E85" s="131" t="s">
        <v>419</v>
      </c>
      <c r="F85" s="131" t="s">
        <v>420</v>
      </c>
      <c r="G85" s="132" t="s">
        <v>421</v>
      </c>
      <c r="H85" s="130" t="s">
        <v>123</v>
      </c>
      <c r="I85" s="153">
        <v>4</v>
      </c>
      <c r="J85" s="133" t="str">
        <f t="shared" ref="J85:J92" si="103">IF(I85&lt;=0,"",IF(I85&lt;=2,"Muy Baja",IF(I85&lt;=24,"Baja",IF(I85&lt;=500,"Media",IF(I85&lt;=5000,"Alta","Muy Alta")))))</f>
        <v>Baja</v>
      </c>
      <c r="K85" s="134">
        <f t="shared" ref="K85:K92" si="104">IF(J85="","",IF(J85="Muy Baja",0.2,IF(J85="Baja",0.4,IF(J85="Media",0.6,IF(J85="Alta",0.8,IF(J85="Muy Alta",1,))))))</f>
        <v>0.4</v>
      </c>
      <c r="L85" s="135" t="s">
        <v>147</v>
      </c>
      <c r="M85" s="134" t="str">
        <f>IF(NOT(ISERROR(MATCH(L85,'Tabla Impacto'!$B$221:$B$223,0))),'Tabla Impacto'!$F$223&amp;"Por favor no seleccionar los criterios de impacto(Afectación Económica o presupuestal y Pérdida Reputacional)",L85)</f>
        <v xml:space="preserve">     Entre 10 y 50 SMLMV </v>
      </c>
      <c r="N85" s="133" t="str">
        <f>IF(OR(M85='Tabla Impacto'!$C$11,M85='Tabla Impacto'!$D$11),"Leve",IF(OR(M85='Tabla Impacto'!$C$12,M85='Tabla Impacto'!$D$12),"Menor",IF(OR(M85='Tabla Impacto'!$C$13,M85='Tabla Impacto'!$D$13),"Moderado",IF(OR(M85='Tabla Impacto'!$C$14,M85='Tabla Impacto'!$D$14),"Mayor",IF(OR(M85='Tabla Impacto'!$C$15,M85='Tabla Impacto'!$D$15),"Catastrófico","")))))</f>
        <v>Menor</v>
      </c>
      <c r="O85" s="134">
        <f t="shared" ref="O85:O92" si="105">IF(N85="","",IF(N85="Leve",0.2,IF(N85="Menor",0.4,IF(N85="Moderado",0.6,IF(N85="Mayor",0.8,IF(N85="Catastrófico",1,))))))</f>
        <v>0.4</v>
      </c>
      <c r="P85" s="136" t="str">
        <f t="shared" ref="P85:P92" si="106">IF(OR(AND(J85="Muy Baja",N85="Leve"),AND(J85="Muy Baja",N85="Menor"),AND(J85="Baja",N85="Leve")),"Bajo",IF(OR(AND(J85="Muy baja",N85="Moderado"),AND(J85="Baja",N85="Menor"),AND(J85="Baja",N85="Moderado"),AND(J85="Media",N85="Leve"),AND(J85="Media",N85="Menor"),AND(J85="Media",N85="Moderado"),AND(J85="Alta",N85="Leve"),AND(J85="Alta",N85="Menor")),"Moderado",IF(OR(AND(J85="Muy Baja",N85="Mayor"),AND(J85="Baja",N85="Mayor"),AND(J85="Media",N85="Mayor"),AND(J85="Alta",N85="Moderado"),AND(J85="Alta",N85="Mayor"),AND(J85="Muy Alta",N85="Leve"),AND(J85="Muy Alta",N85="Menor"),AND(J85="Muy Alta",N85="Moderado"),AND(J85="Muy Alta",N85="Mayor")),"Alto",IF(OR(AND(J85="Muy Baja",N85="Catastrófico"),AND(J85="Baja",N85="Catastrófico"),AND(J85="Media",N85="Catastrófico"),AND(J85="Alta",N85="Catastrófico"),AND(J85="Muy Alta",N85="Catastrófico")),"Extremo",""))))</f>
        <v>Moderado</v>
      </c>
      <c r="Q85" s="137">
        <v>1</v>
      </c>
      <c r="R85" s="156" t="s">
        <v>431</v>
      </c>
      <c r="S85" s="165" t="s">
        <v>422</v>
      </c>
      <c r="T85" s="139" t="str">
        <f t="shared" si="97"/>
        <v>Probabilidad</v>
      </c>
      <c r="U85" s="140" t="s">
        <v>14</v>
      </c>
      <c r="V85" s="140" t="s">
        <v>9</v>
      </c>
      <c r="W85" s="141" t="str">
        <f t="shared" si="98"/>
        <v>40%</v>
      </c>
      <c r="X85" s="140" t="s">
        <v>19</v>
      </c>
      <c r="Y85" s="140" t="s">
        <v>22</v>
      </c>
      <c r="Z85" s="140" t="s">
        <v>119</v>
      </c>
      <c r="AA85" s="142">
        <f t="shared" ref="AA85:AA94" si="107">IFERROR(IF(T85="Probabilidad",(K85-(+K85*W85)),IF(T85="Impacto",K85,"")),"")</f>
        <v>0.24</v>
      </c>
      <c r="AB85" s="143" t="str">
        <f t="shared" ref="AB85:AB94" si="108">IFERROR(IF(AA85="","",IF(AA85&lt;=0.2,"Muy Baja",IF(AA85&lt;=0.4,"Baja",IF(AA85&lt;=0.6,"Media",IF(AA85&lt;=0.8,"Alta","Muy Alta"))))),"")</f>
        <v>Baja</v>
      </c>
      <c r="AC85" s="144">
        <f t="shared" si="99"/>
        <v>0.24</v>
      </c>
      <c r="AD85" s="143" t="str">
        <f t="shared" ref="AD85:AD100" si="109">IFERROR(IF(AE85="","",IF(AE85&lt;=0.2,"Leve",IF(AE85&lt;=0.4,"Menor",IF(AE85&lt;=0.6,"Moderado",IF(AE85&lt;=0.8,"Mayor","Catastrófico"))))),"")</f>
        <v>Menor</v>
      </c>
      <c r="AE85" s="144">
        <f t="shared" si="100"/>
        <v>0.4</v>
      </c>
      <c r="AF85" s="145" t="str">
        <f t="shared" ref="AF85" si="110">IFERROR(IF(OR(AND(AB85="Muy Baja",AD85="Leve"),AND(AB85="Muy Baja",AD85="Menor"),AND(AB85="Baja",AD85="Leve")),"Bajo",IF(OR(AND(AB85="Muy baja",AD85="Moderado"),AND(AB85="Baja",AD85="Menor"),AND(AB85="Baja",AD85="Moderado"),AND(AB85="Media",AD85="Leve"),AND(AB85="Media",AD85="Menor"),AND(AB85="Media",AD85="Moderado"),AND(AB85="Alta",AD85="Leve"),AND(AB85="Alta",AD85="Menor")),"Moderado",IF(OR(AND(AB85="Muy Baja",AD85="Mayor"),AND(AB85="Baja",AD85="Mayor"),AND(AB85="Media",AD85="Mayor"),AND(AB85="Alta",AD85="Moderado"),AND(AB85="Alta",AD85="Mayor"),AND(AB85="Muy Alta",AD85="Leve"),AND(AB85="Muy Alta",AD85="Menor"),AND(AB85="Muy Alta",AD85="Moderado"),AND(AB85="Muy Alta",AD85="Mayor")),"Alto",IF(OR(AND(AB85="Muy Baja",AD85="Catastrófico"),AND(AB85="Baja",AD85="Catastrófico"),AND(AB85="Media",AD85="Catastrófico"),AND(AB85="Alta",AD85="Catastrófico"),AND(AB85="Muy Alta",AD85="Catastrófico")),"Extremo","")))),"")</f>
        <v>Moderado</v>
      </c>
      <c r="AG85" s="146" t="s">
        <v>31</v>
      </c>
      <c r="AH85" s="147"/>
      <c r="AI85" s="148"/>
      <c r="AJ85" s="149"/>
      <c r="AK85" s="149"/>
      <c r="AL85" s="147"/>
      <c r="AM85" s="150"/>
    </row>
    <row r="86" spans="2:39" ht="94.5" x14ac:dyDescent="0.25">
      <c r="B86" s="202"/>
      <c r="C86" s="176">
        <v>43</v>
      </c>
      <c r="D86" s="130" t="s">
        <v>132</v>
      </c>
      <c r="E86" s="131" t="s">
        <v>423</v>
      </c>
      <c r="F86" s="131" t="s">
        <v>424</v>
      </c>
      <c r="G86" s="132" t="s">
        <v>425</v>
      </c>
      <c r="H86" s="130" t="s">
        <v>129</v>
      </c>
      <c r="I86" s="153">
        <v>40</v>
      </c>
      <c r="J86" s="133" t="str">
        <f t="shared" si="103"/>
        <v>Media</v>
      </c>
      <c r="K86" s="134">
        <f t="shared" si="104"/>
        <v>0.6</v>
      </c>
      <c r="L86" s="135" t="s">
        <v>146</v>
      </c>
      <c r="M86" s="134" t="str">
        <f>IF(NOT(ISERROR(MATCH(L86,'Tabla Impacto'!$B$221:$B$223,0))),'Tabla Impacto'!$F$223&amp;"Por favor no seleccionar los criterios de impacto(Afectación Económica o presupuestal y Pérdida Reputacional)",L86)</f>
        <v xml:space="preserve">     Entre 50 y 100 SMLMV </v>
      </c>
      <c r="N86" s="133" t="str">
        <f>IF(OR(M86='Tabla Impacto'!$C$11,M86='Tabla Impacto'!$D$11),"Leve",IF(OR(M86='Tabla Impacto'!$C$12,M86='Tabla Impacto'!$D$12),"Menor",IF(OR(M86='Tabla Impacto'!$C$13,M86='Tabla Impacto'!$D$13),"Moderado",IF(OR(M86='Tabla Impacto'!$C$14,M86='Tabla Impacto'!$D$14),"Mayor",IF(OR(M86='Tabla Impacto'!$C$15,M86='Tabla Impacto'!$D$15),"Catastrófico","")))))</f>
        <v>Moderado</v>
      </c>
      <c r="O86" s="134">
        <f t="shared" si="105"/>
        <v>0.6</v>
      </c>
      <c r="P86" s="136" t="str">
        <f t="shared" si="106"/>
        <v>Moderado</v>
      </c>
      <c r="Q86" s="137">
        <v>1</v>
      </c>
      <c r="R86" s="156" t="s">
        <v>431</v>
      </c>
      <c r="S86" s="165" t="s">
        <v>426</v>
      </c>
      <c r="T86" s="139" t="str">
        <f t="shared" si="97"/>
        <v>Probabilidad</v>
      </c>
      <c r="U86" s="140" t="s">
        <v>14</v>
      </c>
      <c r="V86" s="140" t="s">
        <v>9</v>
      </c>
      <c r="W86" s="141" t="str">
        <f t="shared" si="98"/>
        <v>40%</v>
      </c>
      <c r="X86" s="140" t="s">
        <v>19</v>
      </c>
      <c r="Y86" s="140" t="s">
        <v>22</v>
      </c>
      <c r="Z86" s="140" t="s">
        <v>119</v>
      </c>
      <c r="AA86" s="142">
        <f t="shared" si="107"/>
        <v>0.36</v>
      </c>
      <c r="AB86" s="143" t="str">
        <f t="shared" si="108"/>
        <v>Baja</v>
      </c>
      <c r="AC86" s="144">
        <f t="shared" si="99"/>
        <v>0.36</v>
      </c>
      <c r="AD86" s="143" t="str">
        <f t="shared" si="109"/>
        <v>Moderado</v>
      </c>
      <c r="AE86" s="144">
        <f t="shared" si="100"/>
        <v>0.6</v>
      </c>
      <c r="AF86" s="145" t="str">
        <f t="shared" ref="AF86" si="111">IFERROR(IF(OR(AND(AB86="Muy Baja",AD86="Leve"),AND(AB86="Muy Baja",AD86="Menor"),AND(AB86="Baja",AD86="Leve")),"Bajo",IF(OR(AND(AB86="Muy baja",AD86="Moderado"),AND(AB86="Baja",AD86="Menor"),AND(AB86="Baja",AD86="Moderado"),AND(AB86="Media",AD86="Leve"),AND(AB86="Media",AD86="Menor"),AND(AB86="Media",AD86="Moderado"),AND(AB86="Alta",AD86="Leve"),AND(AB86="Alta",AD86="Menor")),"Moderado",IF(OR(AND(AB86="Muy Baja",AD86="Mayor"),AND(AB86="Baja",AD86="Mayor"),AND(AB86="Media",AD86="Mayor"),AND(AB86="Alta",AD86="Moderado"),AND(AB86="Alta",AD86="Mayor"),AND(AB86="Muy Alta",AD86="Leve"),AND(AB86="Muy Alta",AD86="Menor"),AND(AB86="Muy Alta",AD86="Moderado"),AND(AB86="Muy Alta",AD86="Mayor")),"Alto",IF(OR(AND(AB86="Muy Baja",AD86="Catastrófico"),AND(AB86="Baja",AD86="Catastrófico"),AND(AB86="Media",AD86="Catastrófico"),AND(AB86="Alta",AD86="Catastrófico"),AND(AB86="Muy Alta",AD86="Catastrófico")),"Extremo","")))),"")</f>
        <v>Moderado</v>
      </c>
      <c r="AG86" s="146" t="s">
        <v>31</v>
      </c>
      <c r="AH86" s="147"/>
      <c r="AI86" s="148"/>
      <c r="AJ86" s="149"/>
      <c r="AK86" s="149"/>
      <c r="AL86" s="147"/>
      <c r="AM86" s="150"/>
    </row>
    <row r="87" spans="2:39" ht="135.75" thickBot="1" x14ac:dyDescent="0.3">
      <c r="B87" s="203"/>
      <c r="C87" s="176">
        <v>44</v>
      </c>
      <c r="D87" s="130" t="s">
        <v>132</v>
      </c>
      <c r="E87" s="131" t="s">
        <v>427</v>
      </c>
      <c r="F87" s="131" t="s">
        <v>428</v>
      </c>
      <c r="G87" s="132" t="s">
        <v>429</v>
      </c>
      <c r="H87" s="130" t="s">
        <v>129</v>
      </c>
      <c r="I87" s="153">
        <v>365</v>
      </c>
      <c r="J87" s="133" t="str">
        <f t="shared" si="103"/>
        <v>Media</v>
      </c>
      <c r="K87" s="134">
        <f t="shared" si="104"/>
        <v>0.6</v>
      </c>
      <c r="L87" s="135" t="s">
        <v>146</v>
      </c>
      <c r="M87" s="134" t="str">
        <f>IF(NOT(ISERROR(MATCH(L87,'Tabla Impacto'!$B$221:$B$223,0))),'Tabla Impacto'!$F$223&amp;"Por favor no seleccionar los criterios de impacto(Afectación Económica o presupuestal y Pérdida Reputacional)",L87)</f>
        <v xml:space="preserve">     Entre 50 y 100 SMLMV </v>
      </c>
      <c r="N87" s="133" t="str">
        <f>IF(OR(M87='Tabla Impacto'!$C$11,M87='Tabla Impacto'!$D$11),"Leve",IF(OR(M87='Tabla Impacto'!$C$12,M87='Tabla Impacto'!$D$12),"Menor",IF(OR(M87='Tabla Impacto'!$C$13,M87='Tabla Impacto'!$D$13),"Moderado",IF(OR(M87='Tabla Impacto'!$C$14,M87='Tabla Impacto'!$D$14),"Mayor",IF(OR(M87='Tabla Impacto'!$C$15,M87='Tabla Impacto'!$D$15),"Catastrófico","")))))</f>
        <v>Moderado</v>
      </c>
      <c r="O87" s="134">
        <f t="shared" si="105"/>
        <v>0.6</v>
      </c>
      <c r="P87" s="136" t="str">
        <f t="shared" si="106"/>
        <v>Moderado</v>
      </c>
      <c r="Q87" s="137">
        <v>1</v>
      </c>
      <c r="R87" s="156" t="s">
        <v>431</v>
      </c>
      <c r="S87" s="165" t="s">
        <v>430</v>
      </c>
      <c r="T87" s="139" t="str">
        <f t="shared" si="97"/>
        <v>Probabilidad</v>
      </c>
      <c r="U87" s="140" t="s">
        <v>14</v>
      </c>
      <c r="V87" s="140" t="s">
        <v>9</v>
      </c>
      <c r="W87" s="141" t="str">
        <f t="shared" si="98"/>
        <v>40%</v>
      </c>
      <c r="X87" s="140" t="s">
        <v>19</v>
      </c>
      <c r="Y87" s="140" t="s">
        <v>22</v>
      </c>
      <c r="Z87" s="140" t="s">
        <v>119</v>
      </c>
      <c r="AA87" s="142">
        <f t="shared" si="107"/>
        <v>0.36</v>
      </c>
      <c r="AB87" s="143" t="str">
        <f t="shared" si="108"/>
        <v>Baja</v>
      </c>
      <c r="AC87" s="144">
        <f t="shared" si="99"/>
        <v>0.36</v>
      </c>
      <c r="AD87" s="143" t="str">
        <f t="shared" si="109"/>
        <v>Moderado</v>
      </c>
      <c r="AE87" s="144">
        <f t="shared" si="100"/>
        <v>0.6</v>
      </c>
      <c r="AF87" s="145" t="str">
        <f t="shared" ref="AF87" si="112">IFERROR(IF(OR(AND(AB87="Muy Baja",AD87="Leve"),AND(AB87="Muy Baja",AD87="Menor"),AND(AB87="Baja",AD87="Leve")),"Bajo",IF(OR(AND(AB87="Muy baja",AD87="Moderado"),AND(AB87="Baja",AD87="Menor"),AND(AB87="Baja",AD87="Moderado"),AND(AB87="Media",AD87="Leve"),AND(AB87="Media",AD87="Menor"),AND(AB87="Media",AD87="Moderado"),AND(AB87="Alta",AD87="Leve"),AND(AB87="Alta",AD87="Menor")),"Moderado",IF(OR(AND(AB87="Muy Baja",AD87="Mayor"),AND(AB87="Baja",AD87="Mayor"),AND(AB87="Media",AD87="Mayor"),AND(AB87="Alta",AD87="Moderado"),AND(AB87="Alta",AD87="Mayor"),AND(AB87="Muy Alta",AD87="Leve"),AND(AB87="Muy Alta",AD87="Menor"),AND(AB87="Muy Alta",AD87="Moderado"),AND(AB87="Muy Alta",AD87="Mayor")),"Alto",IF(OR(AND(AB87="Muy Baja",AD87="Catastrófico"),AND(AB87="Baja",AD87="Catastrófico"),AND(AB87="Media",AD87="Catastrófico"),AND(AB87="Alta",AD87="Catastrófico"),AND(AB87="Muy Alta",AD87="Catastrófico")),"Extremo","")))),"")</f>
        <v>Moderado</v>
      </c>
      <c r="AG87" s="146" t="s">
        <v>31</v>
      </c>
      <c r="AH87" s="147"/>
      <c r="AI87" s="148"/>
      <c r="AJ87" s="149"/>
      <c r="AK87" s="149"/>
      <c r="AL87" s="147"/>
      <c r="AM87" s="150"/>
    </row>
    <row r="88" spans="2:39" ht="162" x14ac:dyDescent="0.25">
      <c r="B88" s="206" t="s">
        <v>510</v>
      </c>
      <c r="C88" s="176">
        <v>45</v>
      </c>
      <c r="D88" s="130" t="s">
        <v>131</v>
      </c>
      <c r="E88" s="131" t="s">
        <v>432</v>
      </c>
      <c r="F88" s="131" t="s">
        <v>433</v>
      </c>
      <c r="G88" s="132" t="s">
        <v>434</v>
      </c>
      <c r="H88" s="130" t="s">
        <v>128</v>
      </c>
      <c r="I88" s="153">
        <v>1</v>
      </c>
      <c r="J88" s="133" t="str">
        <f t="shared" si="103"/>
        <v>Muy Baja</v>
      </c>
      <c r="K88" s="134">
        <f t="shared" si="104"/>
        <v>0.2</v>
      </c>
      <c r="L88" s="135" t="s">
        <v>152</v>
      </c>
      <c r="M88" s="134" t="str">
        <f>IF(NOT(ISERROR(MATCH(L88,'Tabla Impacto'!$B$221:$B$223,0))),'Tabla Impacto'!$F$223&amp;"Por favor no seleccionar los criterios de impacto(Afectación Económica o presupuestal y Pérdida Reputacional)",L88)</f>
        <v xml:space="preserve">     El riesgo afecta la imagen de la entidad con algunos usuarios de relevancia frente al logro de los objetivos</v>
      </c>
      <c r="N88" s="133" t="str">
        <f>IF(OR(M88='Tabla Impacto'!$C$11,M88='Tabla Impacto'!$D$11),"Leve",IF(OR(M88='Tabla Impacto'!$C$12,M88='Tabla Impacto'!$D$12),"Menor",IF(OR(M88='Tabla Impacto'!$C$13,M88='Tabla Impacto'!$D$13),"Moderado",IF(OR(M88='Tabla Impacto'!$C$14,M88='Tabla Impacto'!$D$14),"Mayor",IF(OR(M88='Tabla Impacto'!$C$15,M88='Tabla Impacto'!$D$15),"Catastrófico","")))))</f>
        <v>Moderado</v>
      </c>
      <c r="O88" s="134">
        <f t="shared" si="105"/>
        <v>0.6</v>
      </c>
      <c r="P88" s="136" t="str">
        <f t="shared" si="106"/>
        <v>Moderado</v>
      </c>
      <c r="Q88" s="137">
        <v>1</v>
      </c>
      <c r="R88" s="156" t="s">
        <v>448</v>
      </c>
      <c r="S88" s="165" t="s">
        <v>435</v>
      </c>
      <c r="T88" s="139" t="str">
        <f t="shared" ref="T88:T101" si="113">IF(OR(U88="Preventivo",U88="Detectivo"),"Probabilidad",IF(U88="Correctivo","Impacto",""))</f>
        <v>Probabilidad</v>
      </c>
      <c r="U88" s="140" t="s">
        <v>14</v>
      </c>
      <c r="V88" s="140" t="s">
        <v>9</v>
      </c>
      <c r="W88" s="141" t="str">
        <f t="shared" ref="W88:W101" si="114">IF(AND(U88="Preventivo",V88="Automático"),"50%",IF(AND(U88="Preventivo",V88="Manual"),"40%",IF(AND(U88="Detectivo",V88="Automático"),"40%",IF(AND(U88="Detectivo",V88="Manual"),"30%",IF(AND(U88="Correctivo",V88="Automático"),"35%",IF(AND(U88="Correctivo",V88="Manual"),"25%",""))))))</f>
        <v>40%</v>
      </c>
      <c r="X88" s="140" t="s">
        <v>20</v>
      </c>
      <c r="Y88" s="140" t="s">
        <v>22</v>
      </c>
      <c r="Z88" s="140" t="s">
        <v>120</v>
      </c>
      <c r="AA88" s="142">
        <f t="shared" si="107"/>
        <v>0.12</v>
      </c>
      <c r="AB88" s="143" t="str">
        <f t="shared" si="108"/>
        <v>Muy Baja</v>
      </c>
      <c r="AC88" s="144">
        <f t="shared" ref="AC88:AC101" si="115">+AA88</f>
        <v>0.12</v>
      </c>
      <c r="AD88" s="143" t="str">
        <f t="shared" si="109"/>
        <v>Moderado</v>
      </c>
      <c r="AE88" s="144">
        <f t="shared" ref="AE88:AE101" si="116">IFERROR(IF(T88="Impacto",(O88-(+O88*W88)),IF(T88="Probabilidad",O88,"")),"")</f>
        <v>0.6</v>
      </c>
      <c r="AF88" s="145" t="str">
        <f t="shared" ref="AF88" si="117">IFERROR(IF(OR(AND(AB88="Muy Baja",AD88="Leve"),AND(AB88="Muy Baja",AD88="Menor"),AND(AB88="Baja",AD88="Leve")),"Bajo",IF(OR(AND(AB88="Muy baja",AD88="Moderado"),AND(AB88="Baja",AD88="Menor"),AND(AB88="Baja",AD88="Moderado"),AND(AB88="Media",AD88="Leve"),AND(AB88="Media",AD88="Menor"),AND(AB88="Media",AD88="Moderado"),AND(AB88="Alta",AD88="Leve"),AND(AB88="Alta",AD88="Menor")),"Moderado",IF(OR(AND(AB88="Muy Baja",AD88="Mayor"),AND(AB88="Baja",AD88="Mayor"),AND(AB88="Media",AD88="Mayor"),AND(AB88="Alta",AD88="Moderado"),AND(AB88="Alta",AD88="Mayor"),AND(AB88="Muy Alta",AD88="Leve"),AND(AB88="Muy Alta",AD88="Menor"),AND(AB88="Muy Alta",AD88="Moderado"),AND(AB88="Muy Alta",AD88="Mayor")),"Alto",IF(OR(AND(AB88="Muy Baja",AD88="Catastrófico"),AND(AB88="Baja",AD88="Catastrófico"),AND(AB88="Media",AD88="Catastrófico"),AND(AB88="Alta",AD88="Catastrófico"),AND(AB88="Muy Alta",AD88="Catastrófico")),"Extremo","")))),"")</f>
        <v>Moderado</v>
      </c>
      <c r="AG88" s="146" t="s">
        <v>31</v>
      </c>
      <c r="AH88" s="147"/>
      <c r="AI88" s="148"/>
      <c r="AJ88" s="149"/>
      <c r="AK88" s="149"/>
      <c r="AL88" s="147"/>
      <c r="AM88" s="150"/>
    </row>
    <row r="89" spans="2:39" ht="175.5" x14ac:dyDescent="0.25">
      <c r="B89" s="204"/>
      <c r="C89" s="176">
        <v>46</v>
      </c>
      <c r="D89" s="130" t="s">
        <v>133</v>
      </c>
      <c r="E89" s="131" t="s">
        <v>436</v>
      </c>
      <c r="F89" s="131" t="s">
        <v>437</v>
      </c>
      <c r="G89" s="132" t="s">
        <v>438</v>
      </c>
      <c r="H89" s="130" t="s">
        <v>128</v>
      </c>
      <c r="I89" s="153">
        <v>2</v>
      </c>
      <c r="J89" s="133" t="str">
        <f t="shared" si="103"/>
        <v>Muy Baja</v>
      </c>
      <c r="K89" s="134">
        <f t="shared" si="104"/>
        <v>0.2</v>
      </c>
      <c r="L89" s="135" t="s">
        <v>151</v>
      </c>
      <c r="M89" s="134" t="str">
        <f>IF(NOT(ISERROR(MATCH(L89,'Tabla Impacto'!$B$221:$B$223,0))),'Tabla Impacto'!$F$223&amp;"Por favor no seleccionar los criterios de impacto(Afectación Económica o presupuestal y Pérdida Reputacional)",L89)</f>
        <v xml:space="preserve">     El riesgo afecta la imagen de la entidad internamente, de conocimiento general, nivel interno, de junta dircetiva y accionistas y/o de provedores</v>
      </c>
      <c r="N89" s="133" t="str">
        <f>IF(OR(M89='Tabla Impacto'!$C$11,M89='Tabla Impacto'!$D$11),"Leve",IF(OR(M89='Tabla Impacto'!$C$12,M89='Tabla Impacto'!$D$12),"Menor",IF(OR(M89='Tabla Impacto'!$C$13,M89='Tabla Impacto'!$D$13),"Moderado",IF(OR(M89='Tabla Impacto'!$C$14,M89='Tabla Impacto'!$D$14),"Mayor",IF(OR(M89='Tabla Impacto'!$C$15,M89='Tabla Impacto'!$D$15),"Catastrófico","")))))</f>
        <v>Menor</v>
      </c>
      <c r="O89" s="134">
        <f t="shared" si="105"/>
        <v>0.4</v>
      </c>
      <c r="P89" s="136" t="str">
        <f t="shared" si="106"/>
        <v>Bajo</v>
      </c>
      <c r="Q89" s="137">
        <v>1</v>
      </c>
      <c r="R89" s="156" t="s">
        <v>448</v>
      </c>
      <c r="S89" s="165" t="s">
        <v>439</v>
      </c>
      <c r="T89" s="139" t="str">
        <f t="shared" si="113"/>
        <v>Probabilidad</v>
      </c>
      <c r="U89" s="140" t="s">
        <v>14</v>
      </c>
      <c r="V89" s="140" t="s">
        <v>9</v>
      </c>
      <c r="W89" s="141" t="str">
        <f t="shared" si="114"/>
        <v>40%</v>
      </c>
      <c r="X89" s="140" t="s">
        <v>20</v>
      </c>
      <c r="Y89" s="140" t="s">
        <v>22</v>
      </c>
      <c r="Z89" s="140" t="s">
        <v>120</v>
      </c>
      <c r="AA89" s="142">
        <f t="shared" si="107"/>
        <v>0.12</v>
      </c>
      <c r="AB89" s="143" t="str">
        <f t="shared" si="108"/>
        <v>Muy Baja</v>
      </c>
      <c r="AC89" s="144">
        <f t="shared" si="115"/>
        <v>0.12</v>
      </c>
      <c r="AD89" s="143" t="str">
        <f t="shared" si="109"/>
        <v>Menor</v>
      </c>
      <c r="AE89" s="144">
        <f t="shared" si="116"/>
        <v>0.4</v>
      </c>
      <c r="AF89" s="145" t="str">
        <f t="shared" ref="AF89" si="118">IFERROR(IF(OR(AND(AB89="Muy Baja",AD89="Leve"),AND(AB89="Muy Baja",AD89="Menor"),AND(AB89="Baja",AD89="Leve")),"Bajo",IF(OR(AND(AB89="Muy baja",AD89="Moderado"),AND(AB89="Baja",AD89="Menor"),AND(AB89="Baja",AD89="Moderado"),AND(AB89="Media",AD89="Leve"),AND(AB89="Media",AD89="Menor"),AND(AB89="Media",AD89="Moderado"),AND(AB89="Alta",AD89="Leve"),AND(AB89="Alta",AD89="Menor")),"Moderado",IF(OR(AND(AB89="Muy Baja",AD89="Mayor"),AND(AB89="Baja",AD89="Mayor"),AND(AB89="Media",AD89="Mayor"),AND(AB89="Alta",AD89="Moderado"),AND(AB89="Alta",AD89="Mayor"),AND(AB89="Muy Alta",AD89="Leve"),AND(AB89="Muy Alta",AD89="Menor"),AND(AB89="Muy Alta",AD89="Moderado"),AND(AB89="Muy Alta",AD89="Mayor")),"Alto",IF(OR(AND(AB89="Muy Baja",AD89="Catastrófico"),AND(AB89="Baja",AD89="Catastrófico"),AND(AB89="Media",AD89="Catastrófico"),AND(AB89="Alta",AD89="Catastrófico"),AND(AB89="Muy Alta",AD89="Catastrófico")),"Extremo","")))),"")</f>
        <v>Bajo</v>
      </c>
      <c r="AG89" s="146" t="s">
        <v>31</v>
      </c>
      <c r="AH89" s="147"/>
      <c r="AI89" s="148"/>
      <c r="AJ89" s="149"/>
      <c r="AK89" s="149"/>
      <c r="AL89" s="147"/>
      <c r="AM89" s="150"/>
    </row>
    <row r="90" spans="2:39" ht="94.5" x14ac:dyDescent="0.25">
      <c r="B90" s="204"/>
      <c r="C90" s="176">
        <v>47</v>
      </c>
      <c r="D90" s="130" t="s">
        <v>131</v>
      </c>
      <c r="E90" s="131" t="s">
        <v>440</v>
      </c>
      <c r="F90" s="131" t="s">
        <v>441</v>
      </c>
      <c r="G90" s="132" t="s">
        <v>442</v>
      </c>
      <c r="H90" s="130" t="s">
        <v>125</v>
      </c>
      <c r="I90" s="153">
        <v>2</v>
      </c>
      <c r="J90" s="133" t="str">
        <f t="shared" si="103"/>
        <v>Muy Baja</v>
      </c>
      <c r="K90" s="134">
        <f t="shared" si="104"/>
        <v>0.2</v>
      </c>
      <c r="L90" s="135" t="s">
        <v>150</v>
      </c>
      <c r="M90" s="134" t="str">
        <f>IF(NOT(ISERROR(MATCH(L90,'Tabla Impacto'!$B$221:$B$223,0))),'Tabla Impacto'!$F$223&amp;"Por favor no seleccionar los criterios de impacto(Afectación Económica o presupuestal y Pérdida Reputacional)",L90)</f>
        <v xml:space="preserve">     El riesgo afecta la imagen de alguna área de la organización</v>
      </c>
      <c r="N90" s="133" t="str">
        <f>IF(OR(M90='Tabla Impacto'!$C$11,M90='Tabla Impacto'!$D$11),"Leve",IF(OR(M90='Tabla Impacto'!$C$12,M90='Tabla Impacto'!$D$12),"Menor",IF(OR(M90='Tabla Impacto'!$C$13,M90='Tabla Impacto'!$D$13),"Moderado",IF(OR(M90='Tabla Impacto'!$C$14,M90='Tabla Impacto'!$D$14),"Mayor",IF(OR(M90='Tabla Impacto'!$C$15,M90='Tabla Impacto'!$D$15),"Catastrófico","")))))</f>
        <v>Leve</v>
      </c>
      <c r="O90" s="134">
        <f t="shared" si="105"/>
        <v>0.2</v>
      </c>
      <c r="P90" s="136" t="str">
        <f t="shared" si="106"/>
        <v>Bajo</v>
      </c>
      <c r="Q90" s="137">
        <v>1</v>
      </c>
      <c r="R90" s="156" t="s">
        <v>448</v>
      </c>
      <c r="S90" s="165" t="s">
        <v>443</v>
      </c>
      <c r="T90" s="139" t="str">
        <f t="shared" si="113"/>
        <v>Probabilidad</v>
      </c>
      <c r="U90" s="140" t="s">
        <v>15</v>
      </c>
      <c r="V90" s="140" t="s">
        <v>9</v>
      </c>
      <c r="W90" s="141" t="str">
        <f t="shared" si="114"/>
        <v>30%</v>
      </c>
      <c r="X90" s="140" t="s">
        <v>20</v>
      </c>
      <c r="Y90" s="140" t="s">
        <v>23</v>
      </c>
      <c r="Z90" s="140" t="s">
        <v>120</v>
      </c>
      <c r="AA90" s="142">
        <f t="shared" si="107"/>
        <v>0.14000000000000001</v>
      </c>
      <c r="AB90" s="143" t="str">
        <f t="shared" si="108"/>
        <v>Muy Baja</v>
      </c>
      <c r="AC90" s="144">
        <f t="shared" si="115"/>
        <v>0.14000000000000001</v>
      </c>
      <c r="AD90" s="143" t="str">
        <f t="shared" si="109"/>
        <v>Leve</v>
      </c>
      <c r="AE90" s="144">
        <f t="shared" si="116"/>
        <v>0.2</v>
      </c>
      <c r="AF90" s="145" t="str">
        <f t="shared" ref="AF90" si="119">IFERROR(IF(OR(AND(AB90="Muy Baja",AD90="Leve"),AND(AB90="Muy Baja",AD90="Menor"),AND(AB90="Baja",AD90="Leve")),"Bajo",IF(OR(AND(AB90="Muy baja",AD90="Moderado"),AND(AB90="Baja",AD90="Menor"),AND(AB90="Baja",AD90="Moderado"),AND(AB90="Media",AD90="Leve"),AND(AB90="Media",AD90="Menor"),AND(AB90="Media",AD90="Moderado"),AND(AB90="Alta",AD90="Leve"),AND(AB90="Alta",AD90="Menor")),"Moderado",IF(OR(AND(AB90="Muy Baja",AD90="Mayor"),AND(AB90="Baja",AD90="Mayor"),AND(AB90="Media",AD90="Mayor"),AND(AB90="Alta",AD90="Moderado"),AND(AB90="Alta",AD90="Mayor"),AND(AB90="Muy Alta",AD90="Leve"),AND(AB90="Muy Alta",AD90="Menor"),AND(AB90="Muy Alta",AD90="Moderado"),AND(AB90="Muy Alta",AD90="Mayor")),"Alto",IF(OR(AND(AB90="Muy Baja",AD90="Catastrófico"),AND(AB90="Baja",AD90="Catastrófico"),AND(AB90="Media",AD90="Catastrófico"),AND(AB90="Alta",AD90="Catastrófico"),AND(AB90="Muy Alta",AD90="Catastrófico")),"Extremo","")))),"")</f>
        <v>Bajo</v>
      </c>
      <c r="AG90" s="146" t="s">
        <v>135</v>
      </c>
      <c r="AH90" s="147"/>
      <c r="AI90" s="148"/>
      <c r="AJ90" s="149"/>
      <c r="AK90" s="149"/>
      <c r="AL90" s="147"/>
      <c r="AM90" s="150"/>
    </row>
    <row r="91" spans="2:39" ht="189.75" thickBot="1" x14ac:dyDescent="0.3">
      <c r="B91" s="205"/>
      <c r="C91" s="176">
        <v>48</v>
      </c>
      <c r="D91" s="130" t="s">
        <v>131</v>
      </c>
      <c r="E91" s="131" t="s">
        <v>444</v>
      </c>
      <c r="F91" s="131" t="s">
        <v>445</v>
      </c>
      <c r="G91" s="132" t="s">
        <v>446</v>
      </c>
      <c r="H91" s="130" t="s">
        <v>123</v>
      </c>
      <c r="I91" s="153">
        <v>2</v>
      </c>
      <c r="J91" s="133" t="str">
        <f t="shared" si="103"/>
        <v>Muy Baja</v>
      </c>
      <c r="K91" s="134">
        <f t="shared" si="104"/>
        <v>0.2</v>
      </c>
      <c r="L91" s="135" t="s">
        <v>151</v>
      </c>
      <c r="M91" s="134" t="str">
        <f>IF(NOT(ISERROR(MATCH(L91,'Tabla Impacto'!$B$221:$B$223,0))),'Tabla Impacto'!$F$223&amp;"Por favor no seleccionar los criterios de impacto(Afectación Económica o presupuestal y Pérdida Reputacional)",L91)</f>
        <v xml:space="preserve">     El riesgo afecta la imagen de la entidad internamente, de conocimiento general, nivel interno, de junta dircetiva y accionistas y/o de provedores</v>
      </c>
      <c r="N91" s="133" t="str">
        <f>IF(OR(M91='Tabla Impacto'!$C$11,M91='Tabla Impacto'!$D$11),"Leve",IF(OR(M91='Tabla Impacto'!$C$12,M91='Tabla Impacto'!$D$12),"Menor",IF(OR(M91='Tabla Impacto'!$C$13,M91='Tabla Impacto'!$D$13),"Moderado",IF(OR(M91='Tabla Impacto'!$C$14,M91='Tabla Impacto'!$D$14),"Mayor",IF(OR(M91='Tabla Impacto'!$C$15,M91='Tabla Impacto'!$D$15),"Catastrófico","")))))</f>
        <v>Menor</v>
      </c>
      <c r="O91" s="134">
        <f t="shared" si="105"/>
        <v>0.4</v>
      </c>
      <c r="P91" s="136" t="str">
        <f t="shared" si="106"/>
        <v>Bajo</v>
      </c>
      <c r="Q91" s="137">
        <v>1</v>
      </c>
      <c r="R91" s="156" t="s">
        <v>448</v>
      </c>
      <c r="S91" s="165" t="s">
        <v>447</v>
      </c>
      <c r="T91" s="139" t="str">
        <f t="shared" si="113"/>
        <v>Probabilidad</v>
      </c>
      <c r="U91" s="140" t="s">
        <v>14</v>
      </c>
      <c r="V91" s="140" t="s">
        <v>9</v>
      </c>
      <c r="W91" s="141" t="str">
        <f t="shared" si="114"/>
        <v>40%</v>
      </c>
      <c r="X91" s="140" t="s">
        <v>20</v>
      </c>
      <c r="Y91" s="140" t="s">
        <v>23</v>
      </c>
      <c r="Z91" s="140" t="s">
        <v>120</v>
      </c>
      <c r="AA91" s="142">
        <f t="shared" si="107"/>
        <v>0.12</v>
      </c>
      <c r="AB91" s="143" t="str">
        <f t="shared" si="108"/>
        <v>Muy Baja</v>
      </c>
      <c r="AC91" s="144">
        <f t="shared" si="115"/>
        <v>0.12</v>
      </c>
      <c r="AD91" s="143" t="str">
        <f t="shared" si="109"/>
        <v>Menor</v>
      </c>
      <c r="AE91" s="144">
        <f t="shared" si="116"/>
        <v>0.4</v>
      </c>
      <c r="AF91" s="145" t="str">
        <f t="shared" ref="AF91" si="120">IFERROR(IF(OR(AND(AB91="Muy Baja",AD91="Leve"),AND(AB91="Muy Baja",AD91="Menor"),AND(AB91="Baja",AD91="Leve")),"Bajo",IF(OR(AND(AB91="Muy baja",AD91="Moderado"),AND(AB91="Baja",AD91="Menor"),AND(AB91="Baja",AD91="Moderado"),AND(AB91="Media",AD91="Leve"),AND(AB91="Media",AD91="Menor"),AND(AB91="Media",AD91="Moderado"),AND(AB91="Alta",AD91="Leve"),AND(AB91="Alta",AD91="Menor")),"Moderado",IF(OR(AND(AB91="Muy Baja",AD91="Mayor"),AND(AB91="Baja",AD91="Mayor"),AND(AB91="Media",AD91="Mayor"),AND(AB91="Alta",AD91="Moderado"),AND(AB91="Alta",AD91="Mayor"),AND(AB91="Muy Alta",AD91="Leve"),AND(AB91="Muy Alta",AD91="Menor"),AND(AB91="Muy Alta",AD91="Moderado"),AND(AB91="Muy Alta",AD91="Mayor")),"Alto",IF(OR(AND(AB91="Muy Baja",AD91="Catastrófico"),AND(AB91="Baja",AD91="Catastrófico"),AND(AB91="Media",AD91="Catastrófico"),AND(AB91="Alta",AD91="Catastrófico"),AND(AB91="Muy Alta",AD91="Catastrófico")),"Extremo","")))),"")</f>
        <v>Bajo</v>
      </c>
      <c r="AG91" s="146" t="s">
        <v>31</v>
      </c>
      <c r="AH91" s="147"/>
      <c r="AI91" s="148"/>
      <c r="AJ91" s="149"/>
      <c r="AK91" s="149"/>
      <c r="AL91" s="147"/>
      <c r="AM91" s="150"/>
    </row>
    <row r="92" spans="2:39" ht="135" x14ac:dyDescent="0.25">
      <c r="B92" s="217" t="s">
        <v>511</v>
      </c>
      <c r="C92" s="288">
        <v>49</v>
      </c>
      <c r="D92" s="290" t="s">
        <v>133</v>
      </c>
      <c r="E92" s="396" t="s">
        <v>449</v>
      </c>
      <c r="F92" s="396" t="s">
        <v>450</v>
      </c>
      <c r="G92" s="398" t="s">
        <v>451</v>
      </c>
      <c r="H92" s="290" t="s">
        <v>123</v>
      </c>
      <c r="I92" s="296" t="s">
        <v>350</v>
      </c>
      <c r="J92" s="280" t="str">
        <f t="shared" si="103"/>
        <v>Muy Alta</v>
      </c>
      <c r="K92" s="278">
        <f t="shared" si="104"/>
        <v>1</v>
      </c>
      <c r="L92" s="276" t="s">
        <v>153</v>
      </c>
      <c r="M92" s="278" t="str">
        <f>IF(NOT(ISERROR(MATCH(L92,'Tabla Impacto'!$B$221:$B$223,0))),'Tabla Impacto'!$F$223&amp;"Por favor no seleccionar los criterios de impacto(Afectación Económica o presupuestal y Pérdida Reputacional)",L92)</f>
        <v xml:space="preserve">     El riesgo afecta la imagen de de la entidad con efecto publicitario sostenido a nivel de sector administrativo, nivel departamental o municipal</v>
      </c>
      <c r="N92" s="280" t="str">
        <f>IF(OR(M92='Tabla Impacto'!$C$11,M92='Tabla Impacto'!$D$11),"Leve",IF(OR(M92='Tabla Impacto'!$C$12,M92='Tabla Impacto'!$D$12),"Menor",IF(OR(M92='Tabla Impacto'!$C$13,M92='Tabla Impacto'!$D$13),"Moderado",IF(OR(M92='Tabla Impacto'!$C$14,M92='Tabla Impacto'!$D$14),"Mayor",IF(OR(M92='Tabla Impacto'!$C$15,M92='Tabla Impacto'!$D$15),"Catastrófico","")))))</f>
        <v>Mayor</v>
      </c>
      <c r="O92" s="278">
        <f t="shared" si="105"/>
        <v>0.8</v>
      </c>
      <c r="P92" s="282" t="str">
        <f t="shared" si="106"/>
        <v>Alto</v>
      </c>
      <c r="Q92" s="137">
        <v>1</v>
      </c>
      <c r="R92" s="156" t="s">
        <v>547</v>
      </c>
      <c r="S92" s="165" t="s">
        <v>452</v>
      </c>
      <c r="T92" s="139" t="str">
        <f t="shared" si="113"/>
        <v>Probabilidad</v>
      </c>
      <c r="U92" s="140" t="s">
        <v>14</v>
      </c>
      <c r="V92" s="140" t="s">
        <v>10</v>
      </c>
      <c r="W92" s="141" t="str">
        <f t="shared" si="114"/>
        <v>50%</v>
      </c>
      <c r="X92" s="140" t="s">
        <v>19</v>
      </c>
      <c r="Y92" s="140" t="s">
        <v>22</v>
      </c>
      <c r="Z92" s="140" t="s">
        <v>119</v>
      </c>
      <c r="AA92" s="142">
        <f t="shared" si="107"/>
        <v>0.5</v>
      </c>
      <c r="AB92" s="143" t="str">
        <f t="shared" si="108"/>
        <v>Media</v>
      </c>
      <c r="AC92" s="144">
        <f t="shared" si="115"/>
        <v>0.5</v>
      </c>
      <c r="AD92" s="143" t="str">
        <f t="shared" si="109"/>
        <v>Mayor</v>
      </c>
      <c r="AE92" s="144">
        <f t="shared" si="116"/>
        <v>0.8</v>
      </c>
      <c r="AF92" s="145" t="str">
        <f t="shared" ref="AF92:AF94" si="121">IFERROR(IF(OR(AND(AB92="Muy Baja",AD92="Leve"),AND(AB92="Muy Baja",AD92="Menor"),AND(AB92="Baja",AD92="Leve")),"Bajo",IF(OR(AND(AB92="Muy baja",AD92="Moderado"),AND(AB92="Baja",AD92="Menor"),AND(AB92="Baja",AD92="Moderado"),AND(AB92="Media",AD92="Leve"),AND(AB92="Media",AD92="Menor"),AND(AB92="Media",AD92="Moderado"),AND(AB92="Alta",AD92="Leve"),AND(AB92="Alta",AD92="Menor")),"Moderado",IF(OR(AND(AB92="Muy Baja",AD92="Mayor"),AND(AB92="Baja",AD92="Mayor"),AND(AB92="Media",AD92="Mayor"),AND(AB92="Alta",AD92="Moderado"),AND(AB92="Alta",AD92="Mayor"),AND(AB92="Muy Alta",AD92="Leve"),AND(AB92="Muy Alta",AD92="Menor"),AND(AB92="Muy Alta",AD92="Moderado"),AND(AB92="Muy Alta",AD92="Mayor")),"Alto",IF(OR(AND(AB92="Muy Baja",AD92="Catastrófico"),AND(AB92="Baja",AD92="Catastrófico"),AND(AB92="Media",AD92="Catastrófico"),AND(AB92="Alta",AD92="Catastrófico"),AND(AB92="Muy Alta",AD92="Catastrófico")),"Extremo","")))),"")</f>
        <v>Alto</v>
      </c>
      <c r="AG92" s="146" t="s">
        <v>31</v>
      </c>
      <c r="AH92" s="147"/>
      <c r="AI92" s="148"/>
      <c r="AJ92" s="149"/>
      <c r="AK92" s="149"/>
      <c r="AL92" s="147"/>
      <c r="AM92" s="150"/>
    </row>
    <row r="93" spans="2:39" ht="94.5" x14ac:dyDescent="0.25">
      <c r="B93" s="215"/>
      <c r="C93" s="289"/>
      <c r="D93" s="291"/>
      <c r="E93" s="397"/>
      <c r="F93" s="397"/>
      <c r="G93" s="399"/>
      <c r="H93" s="291"/>
      <c r="I93" s="297"/>
      <c r="J93" s="281"/>
      <c r="K93" s="279"/>
      <c r="L93" s="277"/>
      <c r="M93" s="279">
        <f>IF(NOT(ISERROR(MATCH(L93,_xlfn.ANCHORARRAY(#REF!),0))),#REF!&amp;"Por favor no seleccionar los criterios de impacto",L93)</f>
        <v>0</v>
      </c>
      <c r="N93" s="281"/>
      <c r="O93" s="279"/>
      <c r="P93" s="283"/>
      <c r="Q93" s="137">
        <v>2</v>
      </c>
      <c r="R93" s="156" t="s">
        <v>458</v>
      </c>
      <c r="S93" s="165" t="s">
        <v>453</v>
      </c>
      <c r="T93" s="139" t="str">
        <f t="shared" si="113"/>
        <v>Probabilidad</v>
      </c>
      <c r="U93" s="140" t="s">
        <v>15</v>
      </c>
      <c r="V93" s="140" t="s">
        <v>10</v>
      </c>
      <c r="W93" s="141" t="str">
        <f t="shared" si="114"/>
        <v>40%</v>
      </c>
      <c r="X93" s="140" t="s">
        <v>19</v>
      </c>
      <c r="Y93" s="140" t="s">
        <v>22</v>
      </c>
      <c r="Z93" s="140" t="s">
        <v>119</v>
      </c>
      <c r="AA93" s="142">
        <f t="shared" si="107"/>
        <v>0</v>
      </c>
      <c r="AB93" s="143" t="str">
        <f t="shared" si="108"/>
        <v>Muy Baja</v>
      </c>
      <c r="AC93" s="144">
        <f t="shared" si="115"/>
        <v>0</v>
      </c>
      <c r="AD93" s="143" t="str">
        <f t="shared" si="109"/>
        <v>Leve</v>
      </c>
      <c r="AE93" s="144">
        <f t="shared" si="116"/>
        <v>0</v>
      </c>
      <c r="AF93" s="145" t="str">
        <f t="shared" si="121"/>
        <v>Bajo</v>
      </c>
      <c r="AG93" s="146" t="s">
        <v>31</v>
      </c>
      <c r="AH93" s="147"/>
      <c r="AI93" s="148"/>
      <c r="AJ93" s="149"/>
      <c r="AK93" s="149"/>
      <c r="AL93" s="147"/>
      <c r="AM93" s="150"/>
    </row>
    <row r="94" spans="2:39" ht="95.25" thickBot="1" x14ac:dyDescent="0.3">
      <c r="B94" s="216"/>
      <c r="C94" s="289"/>
      <c r="D94" s="291"/>
      <c r="E94" s="397"/>
      <c r="F94" s="397"/>
      <c r="G94" s="399"/>
      <c r="H94" s="291"/>
      <c r="I94" s="297"/>
      <c r="J94" s="281"/>
      <c r="K94" s="279"/>
      <c r="L94" s="277"/>
      <c r="M94" s="279">
        <f>IF(NOT(ISERROR(MATCH(L94,_xlfn.ANCHORARRAY(#REF!),0))),#REF!&amp;"Por favor no seleccionar los criterios de impacto",L94)</f>
        <v>0</v>
      </c>
      <c r="N94" s="281"/>
      <c r="O94" s="279"/>
      <c r="P94" s="283"/>
      <c r="Q94" s="137">
        <v>3</v>
      </c>
      <c r="R94" s="156" t="s">
        <v>458</v>
      </c>
      <c r="S94" s="165" t="s">
        <v>309</v>
      </c>
      <c r="T94" s="139" t="str">
        <f t="shared" si="113"/>
        <v>Probabilidad</v>
      </c>
      <c r="U94" s="140" t="s">
        <v>14</v>
      </c>
      <c r="V94" s="140" t="s">
        <v>9</v>
      </c>
      <c r="W94" s="141" t="str">
        <f t="shared" si="114"/>
        <v>40%</v>
      </c>
      <c r="X94" s="140" t="s">
        <v>19</v>
      </c>
      <c r="Y94" s="140" t="s">
        <v>23</v>
      </c>
      <c r="Z94" s="140" t="s">
        <v>119</v>
      </c>
      <c r="AA94" s="142">
        <f t="shared" si="107"/>
        <v>0</v>
      </c>
      <c r="AB94" s="143" t="str">
        <f t="shared" si="108"/>
        <v>Muy Baja</v>
      </c>
      <c r="AC94" s="144">
        <f t="shared" si="115"/>
        <v>0</v>
      </c>
      <c r="AD94" s="143" t="str">
        <f t="shared" si="109"/>
        <v>Leve</v>
      </c>
      <c r="AE94" s="144">
        <f t="shared" si="116"/>
        <v>0</v>
      </c>
      <c r="AF94" s="145" t="str">
        <f t="shared" si="121"/>
        <v>Bajo</v>
      </c>
      <c r="AG94" s="154" t="s">
        <v>31</v>
      </c>
      <c r="AH94" s="147"/>
      <c r="AI94" s="148"/>
      <c r="AJ94" s="149"/>
      <c r="AK94" s="149"/>
      <c r="AL94" s="147"/>
      <c r="AM94" s="150"/>
    </row>
    <row r="95" spans="2:39" ht="122.25" thickBot="1" x14ac:dyDescent="0.3">
      <c r="B95" s="218" t="s">
        <v>512</v>
      </c>
      <c r="C95" s="176">
        <v>50</v>
      </c>
      <c r="D95" s="130" t="s">
        <v>132</v>
      </c>
      <c r="E95" s="131" t="s">
        <v>454</v>
      </c>
      <c r="F95" s="131" t="s">
        <v>455</v>
      </c>
      <c r="G95" s="132" t="s">
        <v>456</v>
      </c>
      <c r="H95" s="130" t="s">
        <v>123</v>
      </c>
      <c r="I95" s="153">
        <v>180</v>
      </c>
      <c r="J95" s="133" t="str">
        <f t="shared" ref="J95:J100" si="122">IF(I95&lt;=0,"",IF(I95&lt;=2,"Muy Baja",IF(I95&lt;=24,"Baja",IF(I95&lt;=500,"Media",IF(I95&lt;=5000,"Alta","Muy Alta")))))</f>
        <v>Media</v>
      </c>
      <c r="K95" s="134">
        <f t="shared" ref="K95:K100" si="123">IF(J95="","",IF(J95="Muy Baja",0.2,IF(J95="Baja",0.4,IF(J95="Media",0.6,IF(J95="Alta",0.8,IF(J95="Muy Alta",1,))))))</f>
        <v>0.6</v>
      </c>
      <c r="L95" s="135" t="s">
        <v>146</v>
      </c>
      <c r="M95" s="134" t="str">
        <f>IF(NOT(ISERROR(MATCH(L95,'Tabla Impacto'!$B$221:$B$223,0))),'Tabla Impacto'!$F$223&amp;"Por favor no seleccionar los criterios de impacto(Afectación Económica o presupuestal y Pérdida Reputacional)",L95)</f>
        <v xml:space="preserve">     Entre 50 y 100 SMLMV </v>
      </c>
      <c r="N95" s="133" t="str">
        <f>IF(OR(M95='Tabla Impacto'!$C$11,M95='Tabla Impacto'!$D$11),"Leve",IF(OR(M95='Tabla Impacto'!$C$12,M95='Tabla Impacto'!$D$12),"Menor",IF(OR(M95='Tabla Impacto'!$C$13,M95='Tabla Impacto'!$D$13),"Moderado",IF(OR(M95='Tabla Impacto'!$C$14,M95='Tabla Impacto'!$D$14),"Mayor",IF(OR(M95='Tabla Impacto'!$C$15,M95='Tabla Impacto'!$D$15),"Catastrófico","")))))</f>
        <v>Moderado</v>
      </c>
      <c r="O95" s="134">
        <f t="shared" ref="O95:O100" si="124">IF(N95="","",IF(N95="Leve",0.2,IF(N95="Menor",0.4,IF(N95="Moderado",0.6,IF(N95="Mayor",0.8,IF(N95="Catastrófico",1,))))))</f>
        <v>0.6</v>
      </c>
      <c r="P95" s="136" t="str">
        <f t="shared" ref="P95:P100" si="125">IF(OR(AND(J95="Muy Baja",N95="Leve"),AND(J95="Muy Baja",N95="Menor"),AND(J95="Baja",N95="Leve")),"Bajo",IF(OR(AND(J95="Muy baja",N95="Moderado"),AND(J95="Baja",N95="Menor"),AND(J95="Baja",N95="Moderado"),AND(J95="Media",N95="Leve"),AND(J95="Media",N95="Menor"),AND(J95="Media",N95="Moderado"),AND(J95="Alta",N95="Leve"),AND(J95="Alta",N95="Menor")),"Moderado",IF(OR(AND(J95="Muy Baja",N95="Mayor"),AND(J95="Baja",N95="Mayor"),AND(J95="Media",N95="Mayor"),AND(J95="Alta",N95="Moderado"),AND(J95="Alta",N95="Mayor"),AND(J95="Muy Alta",N95="Leve"),AND(J95="Muy Alta",N95="Menor"),AND(J95="Muy Alta",N95="Moderado"),AND(J95="Muy Alta",N95="Mayor")),"Alto",IF(OR(AND(J95="Muy Baja",N95="Catastrófico"),AND(J95="Baja",N95="Catastrófico"),AND(J95="Media",N95="Catastrófico"),AND(J95="Alta",N95="Catastrófico"),AND(J95="Muy Alta",N95="Catastrófico")),"Extremo",""))))</f>
        <v>Moderado</v>
      </c>
      <c r="Q95" s="137">
        <v>1</v>
      </c>
      <c r="R95" s="156" t="s">
        <v>484</v>
      </c>
      <c r="S95" s="168" t="s">
        <v>457</v>
      </c>
      <c r="T95" s="139" t="str">
        <f t="shared" si="113"/>
        <v>Probabilidad</v>
      </c>
      <c r="U95" s="140" t="s">
        <v>14</v>
      </c>
      <c r="V95" s="140" t="s">
        <v>9</v>
      </c>
      <c r="W95" s="141" t="str">
        <f t="shared" si="114"/>
        <v>40%</v>
      </c>
      <c r="X95" s="140" t="s">
        <v>19</v>
      </c>
      <c r="Y95" s="140" t="s">
        <v>22</v>
      </c>
      <c r="Z95" s="140" t="s">
        <v>119</v>
      </c>
      <c r="AA95" s="142">
        <f t="shared" ref="AA95:AA101" si="126">IFERROR(IF(T95="Probabilidad",(K95-(+K95*W95)),IF(T95="Impacto",K95,"")),"")</f>
        <v>0.36</v>
      </c>
      <c r="AB95" s="143" t="str">
        <f t="shared" ref="AB95:AB101" si="127">IFERROR(IF(AA95="","",IF(AA95&lt;=0.2,"Muy Baja",IF(AA95&lt;=0.4,"Baja",IF(AA95&lt;=0.6,"Media",IF(AA95&lt;=0.8,"Alta","Muy Alta"))))),"")</f>
        <v>Baja</v>
      </c>
      <c r="AC95" s="144">
        <f t="shared" si="115"/>
        <v>0.36</v>
      </c>
      <c r="AD95" s="143" t="str">
        <f t="shared" si="109"/>
        <v>Moderado</v>
      </c>
      <c r="AE95" s="144">
        <f t="shared" si="116"/>
        <v>0.6</v>
      </c>
      <c r="AF95" s="145" t="str">
        <f t="shared" ref="AF95" si="128">IFERROR(IF(OR(AND(AB95="Muy Baja",AD95="Leve"),AND(AB95="Muy Baja",AD95="Menor"),AND(AB95="Baja",AD95="Leve")),"Bajo",IF(OR(AND(AB95="Muy baja",AD95="Moderado"),AND(AB95="Baja",AD95="Menor"),AND(AB95="Baja",AD95="Moderado"),AND(AB95="Media",AD95="Leve"),AND(AB95="Media",AD95="Menor"),AND(AB95="Media",AD95="Moderado"),AND(AB95="Alta",AD95="Leve"),AND(AB95="Alta",AD95="Menor")),"Moderado",IF(OR(AND(AB95="Muy Baja",AD95="Mayor"),AND(AB95="Baja",AD95="Mayor"),AND(AB95="Media",AD95="Mayor"),AND(AB95="Alta",AD95="Moderado"),AND(AB95="Alta",AD95="Mayor"),AND(AB95="Muy Alta",AD95="Leve"),AND(AB95="Muy Alta",AD95="Menor"),AND(AB95="Muy Alta",AD95="Moderado"),AND(AB95="Muy Alta",AD95="Mayor")),"Alto",IF(OR(AND(AB95="Muy Baja",AD95="Catastrófico"),AND(AB95="Baja",AD95="Catastrófico"),AND(AB95="Media",AD95="Catastrófico"),AND(AB95="Alta",AD95="Catastrófico"),AND(AB95="Muy Alta",AD95="Catastrófico")),"Extremo","")))),"")</f>
        <v>Moderado</v>
      </c>
      <c r="AG95" s="146" t="s">
        <v>31</v>
      </c>
      <c r="AH95" s="147"/>
      <c r="AI95" s="148"/>
      <c r="AJ95" s="149"/>
      <c r="AK95" s="149"/>
      <c r="AL95" s="147"/>
      <c r="AM95" s="150"/>
    </row>
    <row r="96" spans="2:39" ht="175.5" x14ac:dyDescent="0.25">
      <c r="B96" s="221" t="s">
        <v>513</v>
      </c>
      <c r="C96" s="176">
        <v>51</v>
      </c>
      <c r="D96" s="130" t="s">
        <v>131</v>
      </c>
      <c r="E96" s="131" t="s">
        <v>459</v>
      </c>
      <c r="F96" s="131" t="s">
        <v>460</v>
      </c>
      <c r="G96" s="132" t="s">
        <v>461</v>
      </c>
      <c r="H96" s="130" t="s">
        <v>123</v>
      </c>
      <c r="I96" s="153">
        <v>24</v>
      </c>
      <c r="J96" s="133" t="str">
        <f t="shared" si="122"/>
        <v>Baja</v>
      </c>
      <c r="K96" s="134">
        <f t="shared" si="123"/>
        <v>0.4</v>
      </c>
      <c r="L96" s="135" t="s">
        <v>151</v>
      </c>
      <c r="M96" s="134" t="str">
        <f>IF(NOT(ISERROR(MATCH(L96,'Tabla Impacto'!$B$221:$B$223,0))),'Tabla Impacto'!$F$223&amp;"Por favor no seleccionar los criterios de impacto(Afectación Económica o presupuestal y Pérdida Reputacional)",L96)</f>
        <v xml:space="preserve">     El riesgo afecta la imagen de la entidad internamente, de conocimiento general, nivel interno, de junta dircetiva y accionistas y/o de provedores</v>
      </c>
      <c r="N96" s="133" t="str">
        <f>IF(OR(M96='Tabla Impacto'!$C$11,M96='Tabla Impacto'!$D$11),"Leve",IF(OR(M96='Tabla Impacto'!$C$12,M96='Tabla Impacto'!$D$12),"Menor",IF(OR(M96='Tabla Impacto'!$C$13,M96='Tabla Impacto'!$D$13),"Moderado",IF(OR(M96='Tabla Impacto'!$C$14,M96='Tabla Impacto'!$D$14),"Mayor",IF(OR(M96='Tabla Impacto'!$C$15,M96='Tabla Impacto'!$D$15),"Catastrófico","")))))</f>
        <v>Menor</v>
      </c>
      <c r="O96" s="134">
        <f t="shared" si="124"/>
        <v>0.4</v>
      </c>
      <c r="P96" s="136" t="str">
        <f t="shared" si="125"/>
        <v>Moderado</v>
      </c>
      <c r="Q96" s="137">
        <v>1</v>
      </c>
      <c r="R96" s="156" t="s">
        <v>485</v>
      </c>
      <c r="S96" s="165" t="s">
        <v>462</v>
      </c>
      <c r="T96" s="139" t="str">
        <f t="shared" si="113"/>
        <v>Probabilidad</v>
      </c>
      <c r="U96" s="140" t="s">
        <v>14</v>
      </c>
      <c r="V96" s="140" t="s">
        <v>9</v>
      </c>
      <c r="W96" s="141" t="str">
        <f t="shared" si="114"/>
        <v>40%</v>
      </c>
      <c r="X96" s="140" t="s">
        <v>19</v>
      </c>
      <c r="Y96" s="140" t="s">
        <v>22</v>
      </c>
      <c r="Z96" s="140" t="s">
        <v>119</v>
      </c>
      <c r="AA96" s="142">
        <f t="shared" si="126"/>
        <v>0.24</v>
      </c>
      <c r="AB96" s="143" t="str">
        <f t="shared" si="127"/>
        <v>Baja</v>
      </c>
      <c r="AC96" s="144">
        <f t="shared" si="115"/>
        <v>0.24</v>
      </c>
      <c r="AD96" s="143" t="str">
        <f t="shared" si="109"/>
        <v>Menor</v>
      </c>
      <c r="AE96" s="144">
        <f t="shared" si="116"/>
        <v>0.4</v>
      </c>
      <c r="AF96" s="145" t="str">
        <f t="shared" ref="AF96" si="129">IFERROR(IF(OR(AND(AB96="Muy Baja",AD96="Leve"),AND(AB96="Muy Baja",AD96="Menor"),AND(AB96="Baja",AD96="Leve")),"Bajo",IF(OR(AND(AB96="Muy baja",AD96="Moderado"),AND(AB96="Baja",AD96="Menor"),AND(AB96="Baja",AD96="Moderado"),AND(AB96="Media",AD96="Leve"),AND(AB96="Media",AD96="Menor"),AND(AB96="Media",AD96="Moderado"),AND(AB96="Alta",AD96="Leve"),AND(AB96="Alta",AD96="Menor")),"Moderado",IF(OR(AND(AB96="Muy Baja",AD96="Mayor"),AND(AB96="Baja",AD96="Mayor"),AND(AB96="Media",AD96="Mayor"),AND(AB96="Alta",AD96="Moderado"),AND(AB96="Alta",AD96="Mayor"),AND(AB96="Muy Alta",AD96="Leve"),AND(AB96="Muy Alta",AD96="Menor"),AND(AB96="Muy Alta",AD96="Moderado"),AND(AB96="Muy Alta",AD96="Mayor")),"Alto",IF(OR(AND(AB96="Muy Baja",AD96="Catastrófico"),AND(AB96="Baja",AD96="Catastrófico"),AND(AB96="Media",AD96="Catastrófico"),AND(AB96="Alta",AD96="Catastrófico"),AND(AB96="Muy Alta",AD96="Catastrófico")),"Extremo","")))),"")</f>
        <v>Moderado</v>
      </c>
      <c r="AG96" s="146" t="s">
        <v>31</v>
      </c>
      <c r="AH96" s="147"/>
      <c r="AI96" s="148"/>
      <c r="AJ96" s="149"/>
      <c r="AK96" s="149"/>
      <c r="AL96" s="147"/>
      <c r="AM96" s="150"/>
    </row>
    <row r="97" spans="2:39" ht="175.5" x14ac:dyDescent="0.25">
      <c r="B97" s="219"/>
      <c r="C97" s="176">
        <v>52</v>
      </c>
      <c r="D97" s="130" t="s">
        <v>131</v>
      </c>
      <c r="E97" s="131" t="s">
        <v>463</v>
      </c>
      <c r="F97" s="131" t="s">
        <v>464</v>
      </c>
      <c r="G97" s="132" t="s">
        <v>465</v>
      </c>
      <c r="H97" s="130" t="s">
        <v>123</v>
      </c>
      <c r="I97" s="153">
        <v>2</v>
      </c>
      <c r="J97" s="133" t="str">
        <f t="shared" si="122"/>
        <v>Muy Baja</v>
      </c>
      <c r="K97" s="134">
        <f t="shared" si="123"/>
        <v>0.2</v>
      </c>
      <c r="L97" s="135" t="s">
        <v>151</v>
      </c>
      <c r="M97" s="134" t="str">
        <f>IF(NOT(ISERROR(MATCH(L97,'Tabla Impacto'!$B$221:$B$223,0))),'Tabla Impacto'!$F$223&amp;"Por favor no seleccionar los criterios de impacto(Afectación Económica o presupuestal y Pérdida Reputacional)",L97)</f>
        <v xml:space="preserve">     El riesgo afecta la imagen de la entidad internamente, de conocimiento general, nivel interno, de junta dircetiva y accionistas y/o de provedores</v>
      </c>
      <c r="N97" s="133" t="str">
        <f>IF(OR(M97='Tabla Impacto'!$C$11,M97='Tabla Impacto'!$D$11),"Leve",IF(OR(M97='Tabla Impacto'!$C$12,M97='Tabla Impacto'!$D$12),"Menor",IF(OR(M97='Tabla Impacto'!$C$13,M97='Tabla Impacto'!$D$13),"Moderado",IF(OR(M97='Tabla Impacto'!$C$14,M97='Tabla Impacto'!$D$14),"Mayor",IF(OR(M97='Tabla Impacto'!$C$15,M97='Tabla Impacto'!$D$15),"Catastrófico","")))))</f>
        <v>Menor</v>
      </c>
      <c r="O97" s="134">
        <f t="shared" si="124"/>
        <v>0.4</v>
      </c>
      <c r="P97" s="136" t="str">
        <f t="shared" si="125"/>
        <v>Bajo</v>
      </c>
      <c r="Q97" s="137">
        <v>1</v>
      </c>
      <c r="R97" s="156" t="s">
        <v>485</v>
      </c>
      <c r="S97" s="165" t="s">
        <v>466</v>
      </c>
      <c r="T97" s="139" t="str">
        <f t="shared" si="113"/>
        <v>Probabilidad</v>
      </c>
      <c r="U97" s="140" t="s">
        <v>14</v>
      </c>
      <c r="V97" s="140" t="s">
        <v>9</v>
      </c>
      <c r="W97" s="141" t="str">
        <f t="shared" si="114"/>
        <v>40%</v>
      </c>
      <c r="X97" s="140" t="s">
        <v>19</v>
      </c>
      <c r="Y97" s="140" t="s">
        <v>23</v>
      </c>
      <c r="Z97" s="140" t="s">
        <v>119</v>
      </c>
      <c r="AA97" s="142">
        <f t="shared" si="126"/>
        <v>0.12</v>
      </c>
      <c r="AB97" s="143" t="str">
        <f t="shared" si="127"/>
        <v>Muy Baja</v>
      </c>
      <c r="AC97" s="144">
        <f t="shared" si="115"/>
        <v>0.12</v>
      </c>
      <c r="AD97" s="143" t="str">
        <f t="shared" si="109"/>
        <v>Menor</v>
      </c>
      <c r="AE97" s="144">
        <f t="shared" si="116"/>
        <v>0.4</v>
      </c>
      <c r="AF97" s="145" t="str">
        <f t="shared" ref="AF97" si="130">IFERROR(IF(OR(AND(AB97="Muy Baja",AD97="Leve"),AND(AB97="Muy Baja",AD97="Menor"),AND(AB97="Baja",AD97="Leve")),"Bajo",IF(OR(AND(AB97="Muy baja",AD97="Moderado"),AND(AB97="Baja",AD97="Menor"),AND(AB97="Baja",AD97="Moderado"),AND(AB97="Media",AD97="Leve"),AND(AB97="Media",AD97="Menor"),AND(AB97="Media",AD97="Moderado"),AND(AB97="Alta",AD97="Leve"),AND(AB97="Alta",AD97="Menor")),"Moderado",IF(OR(AND(AB97="Muy Baja",AD97="Mayor"),AND(AB97="Baja",AD97="Mayor"),AND(AB97="Media",AD97="Mayor"),AND(AB97="Alta",AD97="Moderado"),AND(AB97="Alta",AD97="Mayor"),AND(AB97="Muy Alta",AD97="Leve"),AND(AB97="Muy Alta",AD97="Menor"),AND(AB97="Muy Alta",AD97="Moderado"),AND(AB97="Muy Alta",AD97="Mayor")),"Alto",IF(OR(AND(AB97="Muy Baja",AD97="Catastrófico"),AND(AB97="Baja",AD97="Catastrófico"),AND(AB97="Media",AD97="Catastrófico"),AND(AB97="Alta",AD97="Catastrófico"),AND(AB97="Muy Alta",AD97="Catastrófico")),"Extremo","")))),"")</f>
        <v>Bajo</v>
      </c>
      <c r="AG97" s="146" t="s">
        <v>31</v>
      </c>
      <c r="AH97" s="147"/>
      <c r="AI97" s="148"/>
      <c r="AJ97" s="149"/>
      <c r="AK97" s="149"/>
      <c r="AL97" s="147"/>
      <c r="AM97" s="150"/>
    </row>
    <row r="98" spans="2:39" ht="93.75" thickBot="1" x14ac:dyDescent="0.3">
      <c r="B98" s="220"/>
      <c r="C98" s="176">
        <v>53</v>
      </c>
      <c r="D98" s="130" t="s">
        <v>131</v>
      </c>
      <c r="E98" s="131" t="s">
        <v>467</v>
      </c>
      <c r="F98" s="131" t="s">
        <v>468</v>
      </c>
      <c r="G98" s="132" t="s">
        <v>469</v>
      </c>
      <c r="H98" s="130" t="s">
        <v>123</v>
      </c>
      <c r="I98" s="153">
        <v>2</v>
      </c>
      <c r="J98" s="133" t="str">
        <f t="shared" si="122"/>
        <v>Muy Baja</v>
      </c>
      <c r="K98" s="134">
        <f t="shared" si="123"/>
        <v>0.2</v>
      </c>
      <c r="L98" s="135" t="s">
        <v>150</v>
      </c>
      <c r="M98" s="134" t="str">
        <f>IF(NOT(ISERROR(MATCH(L98,'Tabla Impacto'!$B$221:$B$223,0))),'Tabla Impacto'!$F$223&amp;"Por favor no seleccionar los criterios de impacto(Afectación Económica o presupuestal y Pérdida Reputacional)",L98)</f>
        <v xml:space="preserve">     El riesgo afecta la imagen de alguna área de la organización</v>
      </c>
      <c r="N98" s="133" t="str">
        <f>IF(OR(M98='Tabla Impacto'!$C$11,M98='Tabla Impacto'!$D$11),"Leve",IF(OR(M98='Tabla Impacto'!$C$12,M98='Tabla Impacto'!$D$12),"Menor",IF(OR(M98='Tabla Impacto'!$C$13,M98='Tabla Impacto'!$D$13),"Moderado",IF(OR(M98='Tabla Impacto'!$C$14,M98='Tabla Impacto'!$D$14),"Mayor",IF(OR(M98='Tabla Impacto'!$C$15,M98='Tabla Impacto'!$D$15),"Catastrófico","")))))</f>
        <v>Leve</v>
      </c>
      <c r="O98" s="134">
        <f t="shared" si="124"/>
        <v>0.2</v>
      </c>
      <c r="P98" s="136" t="str">
        <f t="shared" si="125"/>
        <v>Bajo</v>
      </c>
      <c r="Q98" s="137">
        <v>1</v>
      </c>
      <c r="R98" s="156" t="s">
        <v>485</v>
      </c>
      <c r="S98" s="165" t="s">
        <v>470</v>
      </c>
      <c r="T98" s="139" t="str">
        <f t="shared" si="113"/>
        <v>Impacto</v>
      </c>
      <c r="U98" s="140" t="s">
        <v>16</v>
      </c>
      <c r="V98" s="140" t="s">
        <v>10</v>
      </c>
      <c r="W98" s="141" t="str">
        <f t="shared" si="114"/>
        <v>35%</v>
      </c>
      <c r="X98" s="140" t="s">
        <v>20</v>
      </c>
      <c r="Y98" s="140" t="s">
        <v>23</v>
      </c>
      <c r="Z98" s="140" t="s">
        <v>119</v>
      </c>
      <c r="AA98" s="142">
        <f t="shared" si="126"/>
        <v>0.2</v>
      </c>
      <c r="AB98" s="143" t="str">
        <f t="shared" si="127"/>
        <v>Muy Baja</v>
      </c>
      <c r="AC98" s="144">
        <f t="shared" si="115"/>
        <v>0.2</v>
      </c>
      <c r="AD98" s="143" t="str">
        <f t="shared" si="109"/>
        <v>Leve</v>
      </c>
      <c r="AE98" s="144">
        <f t="shared" si="116"/>
        <v>0.13</v>
      </c>
      <c r="AF98" s="145" t="str">
        <f t="shared" ref="AF98" si="131">IFERROR(IF(OR(AND(AB98="Muy Baja",AD98="Leve"),AND(AB98="Muy Baja",AD98="Menor"),AND(AB98="Baja",AD98="Leve")),"Bajo",IF(OR(AND(AB98="Muy baja",AD98="Moderado"),AND(AB98="Baja",AD98="Menor"),AND(AB98="Baja",AD98="Moderado"),AND(AB98="Media",AD98="Leve"),AND(AB98="Media",AD98="Menor"),AND(AB98="Media",AD98="Moderado"),AND(AB98="Alta",AD98="Leve"),AND(AB98="Alta",AD98="Menor")),"Moderado",IF(OR(AND(AB98="Muy Baja",AD98="Mayor"),AND(AB98="Baja",AD98="Mayor"),AND(AB98="Media",AD98="Mayor"),AND(AB98="Alta",AD98="Moderado"),AND(AB98="Alta",AD98="Mayor"),AND(AB98="Muy Alta",AD98="Leve"),AND(AB98="Muy Alta",AD98="Menor"),AND(AB98="Muy Alta",AD98="Moderado"),AND(AB98="Muy Alta",AD98="Mayor")),"Alto",IF(OR(AND(AB98="Muy Baja",AD98="Catastrófico"),AND(AB98="Baja",AD98="Catastrófico"),AND(AB98="Media",AD98="Catastrófico"),AND(AB98="Alta",AD98="Catastrófico"),AND(AB98="Muy Alta",AD98="Catastrófico")),"Extremo","")))),"")</f>
        <v>Bajo</v>
      </c>
      <c r="AG98" s="146" t="s">
        <v>136</v>
      </c>
      <c r="AH98" s="147"/>
      <c r="AI98" s="148"/>
      <c r="AJ98" s="149"/>
      <c r="AK98" s="149"/>
      <c r="AL98" s="147"/>
      <c r="AM98" s="150"/>
    </row>
    <row r="99" spans="2:39" ht="121.5" x14ac:dyDescent="0.25">
      <c r="B99" s="222" t="s">
        <v>517</v>
      </c>
      <c r="C99" s="176">
        <v>54</v>
      </c>
      <c r="D99" s="130" t="s">
        <v>131</v>
      </c>
      <c r="E99" s="131" t="s">
        <v>471</v>
      </c>
      <c r="F99" s="131" t="s">
        <v>472</v>
      </c>
      <c r="G99" s="132" t="s">
        <v>473</v>
      </c>
      <c r="H99" s="130" t="s">
        <v>126</v>
      </c>
      <c r="I99" s="153">
        <v>365</v>
      </c>
      <c r="J99" s="133" t="str">
        <f t="shared" si="122"/>
        <v>Media</v>
      </c>
      <c r="K99" s="134">
        <f t="shared" si="123"/>
        <v>0.6</v>
      </c>
      <c r="L99" s="135" t="s">
        <v>152</v>
      </c>
      <c r="M99" s="134" t="str">
        <f>IF(NOT(ISERROR(MATCH(L99,'Tabla Impacto'!$B$221:$B$223,0))),'Tabla Impacto'!$F$223&amp;"Por favor no seleccionar los criterios de impacto(Afectación Económica o presupuestal y Pérdida Reputacional)",L99)</f>
        <v xml:space="preserve">     El riesgo afecta la imagen de la entidad con algunos usuarios de relevancia frente al logro de los objetivos</v>
      </c>
      <c r="N99" s="133" t="str">
        <f>IF(OR(M99='Tabla Impacto'!$C$11,M99='Tabla Impacto'!$D$11),"Leve",IF(OR(M99='Tabla Impacto'!$C$12,M99='Tabla Impacto'!$D$12),"Menor",IF(OR(M99='Tabla Impacto'!$C$13,M99='Tabla Impacto'!$D$13),"Moderado",IF(OR(M99='Tabla Impacto'!$C$14,M99='Tabla Impacto'!$D$14),"Mayor",IF(OR(M99='Tabla Impacto'!$C$15,M99='Tabla Impacto'!$D$15),"Catastrófico","")))))</f>
        <v>Moderado</v>
      </c>
      <c r="O99" s="134">
        <f t="shared" si="124"/>
        <v>0.6</v>
      </c>
      <c r="P99" s="136" t="str">
        <f t="shared" si="125"/>
        <v>Moderado</v>
      </c>
      <c r="Q99" s="137">
        <v>1</v>
      </c>
      <c r="R99" s="156" t="s">
        <v>486</v>
      </c>
      <c r="S99" s="165" t="s">
        <v>474</v>
      </c>
      <c r="T99" s="139" t="str">
        <f t="shared" si="113"/>
        <v>Probabilidad</v>
      </c>
      <c r="U99" s="140" t="s">
        <v>14</v>
      </c>
      <c r="V99" s="140" t="s">
        <v>10</v>
      </c>
      <c r="W99" s="141" t="str">
        <f t="shared" si="114"/>
        <v>50%</v>
      </c>
      <c r="X99" s="140" t="s">
        <v>19</v>
      </c>
      <c r="Y99" s="140" t="s">
        <v>22</v>
      </c>
      <c r="Z99" s="140" t="s">
        <v>119</v>
      </c>
      <c r="AA99" s="142">
        <f t="shared" si="126"/>
        <v>0.3</v>
      </c>
      <c r="AB99" s="143" t="str">
        <f t="shared" si="127"/>
        <v>Baja</v>
      </c>
      <c r="AC99" s="144">
        <f t="shared" si="115"/>
        <v>0.3</v>
      </c>
      <c r="AD99" s="143" t="str">
        <f t="shared" si="109"/>
        <v>Moderado</v>
      </c>
      <c r="AE99" s="144">
        <f t="shared" si="116"/>
        <v>0.6</v>
      </c>
      <c r="AF99" s="145" t="str">
        <f t="shared" ref="AF99" si="132">IFERROR(IF(OR(AND(AB99="Muy Baja",AD99="Leve"),AND(AB99="Muy Baja",AD99="Menor"),AND(AB99="Baja",AD99="Leve")),"Bajo",IF(OR(AND(AB99="Muy baja",AD99="Moderado"),AND(AB99="Baja",AD99="Menor"),AND(AB99="Baja",AD99="Moderado"),AND(AB99="Media",AD99="Leve"),AND(AB99="Media",AD99="Menor"),AND(AB99="Media",AD99="Moderado"),AND(AB99="Alta",AD99="Leve"),AND(AB99="Alta",AD99="Menor")),"Moderado",IF(OR(AND(AB99="Muy Baja",AD99="Mayor"),AND(AB99="Baja",AD99="Mayor"),AND(AB99="Media",AD99="Mayor"),AND(AB99="Alta",AD99="Moderado"),AND(AB99="Alta",AD99="Mayor"),AND(AB99="Muy Alta",AD99="Leve"),AND(AB99="Muy Alta",AD99="Menor"),AND(AB99="Muy Alta",AD99="Moderado"),AND(AB99="Muy Alta",AD99="Mayor")),"Alto",IF(OR(AND(AB99="Muy Baja",AD99="Catastrófico"),AND(AB99="Baja",AD99="Catastrófico"),AND(AB99="Media",AD99="Catastrófico"),AND(AB99="Alta",AD99="Catastrófico"),AND(AB99="Muy Alta",AD99="Catastrófico")),"Extremo","")))),"")</f>
        <v>Moderado</v>
      </c>
      <c r="AG99" s="146" t="s">
        <v>31</v>
      </c>
      <c r="AH99" s="147"/>
      <c r="AI99" s="148"/>
      <c r="AJ99" s="149"/>
      <c r="AK99" s="149"/>
      <c r="AL99" s="147"/>
      <c r="AM99" s="150"/>
    </row>
    <row r="100" spans="2:39" ht="81" x14ac:dyDescent="0.25">
      <c r="B100" s="223"/>
      <c r="C100" s="288">
        <v>55</v>
      </c>
      <c r="D100" s="290" t="s">
        <v>131</v>
      </c>
      <c r="E100" s="292" t="s">
        <v>475</v>
      </c>
      <c r="F100" s="292" t="s">
        <v>476</v>
      </c>
      <c r="G100" s="294" t="s">
        <v>477</v>
      </c>
      <c r="H100" s="290" t="s">
        <v>123</v>
      </c>
      <c r="I100" s="296">
        <v>50</v>
      </c>
      <c r="J100" s="280" t="str">
        <f t="shared" si="122"/>
        <v>Media</v>
      </c>
      <c r="K100" s="278">
        <f t="shared" si="123"/>
        <v>0.6</v>
      </c>
      <c r="L100" s="276" t="s">
        <v>151</v>
      </c>
      <c r="M100" s="278" t="str">
        <f>IF(NOT(ISERROR(MATCH(L100,'Tabla Impacto'!$B$221:$B$223,0))),'Tabla Impacto'!$F$223&amp;"Por favor no seleccionar los criterios de impacto(Afectación Económica o presupuestal y Pérdida Reputacional)",L100)</f>
        <v xml:space="preserve">     El riesgo afecta la imagen de la entidad internamente, de conocimiento general, nivel interno, de junta dircetiva y accionistas y/o de provedores</v>
      </c>
      <c r="N100" s="280" t="str">
        <f>IF(OR(M100='Tabla Impacto'!$C$11,M100='Tabla Impacto'!$D$11),"Leve",IF(OR(M100='Tabla Impacto'!$C$12,M100='Tabla Impacto'!$D$12),"Menor",IF(OR(M100='Tabla Impacto'!$C$13,M100='Tabla Impacto'!$D$13),"Moderado",IF(OR(M100='Tabla Impacto'!$C$14,M100='Tabla Impacto'!$D$14),"Mayor",IF(OR(M100='Tabla Impacto'!$C$15,M100='Tabla Impacto'!$D$15),"Catastrófico","")))))</f>
        <v>Menor</v>
      </c>
      <c r="O100" s="278">
        <f t="shared" si="124"/>
        <v>0.4</v>
      </c>
      <c r="P100" s="282" t="str">
        <f t="shared" si="125"/>
        <v>Moderado</v>
      </c>
      <c r="Q100" s="137">
        <v>1</v>
      </c>
      <c r="R100" s="156" t="s">
        <v>486</v>
      </c>
      <c r="S100" s="165" t="s">
        <v>478</v>
      </c>
      <c r="T100" s="139" t="str">
        <f t="shared" si="113"/>
        <v>Probabilidad</v>
      </c>
      <c r="U100" s="140" t="s">
        <v>15</v>
      </c>
      <c r="V100" s="140" t="s">
        <v>9</v>
      </c>
      <c r="W100" s="141" t="str">
        <f t="shared" si="114"/>
        <v>30%</v>
      </c>
      <c r="X100" s="140" t="s">
        <v>19</v>
      </c>
      <c r="Y100" s="140" t="s">
        <v>22</v>
      </c>
      <c r="Z100" s="140" t="s">
        <v>119</v>
      </c>
      <c r="AA100" s="142">
        <f t="shared" si="126"/>
        <v>0.42</v>
      </c>
      <c r="AB100" s="143" t="str">
        <f t="shared" si="127"/>
        <v>Media</v>
      </c>
      <c r="AC100" s="144">
        <f t="shared" si="115"/>
        <v>0.42</v>
      </c>
      <c r="AD100" s="143" t="str">
        <f t="shared" si="109"/>
        <v>Menor</v>
      </c>
      <c r="AE100" s="144">
        <f t="shared" si="116"/>
        <v>0.4</v>
      </c>
      <c r="AF100" s="145" t="str">
        <f t="shared" ref="AF100:AF101" si="133">IFERROR(IF(OR(AND(AB100="Muy Baja",AD100="Leve"),AND(AB100="Muy Baja",AD100="Menor"),AND(AB100="Baja",AD100="Leve")),"Bajo",IF(OR(AND(AB100="Muy baja",AD100="Moderado"),AND(AB100="Baja",AD100="Menor"),AND(AB100="Baja",AD100="Moderado"),AND(AB100="Media",AD100="Leve"),AND(AB100="Media",AD100="Menor"),AND(AB100="Media",AD100="Moderado"),AND(AB100="Alta",AD100="Leve"),AND(AB100="Alta",AD100="Menor")),"Moderado",IF(OR(AND(AB100="Muy Baja",AD100="Mayor"),AND(AB100="Baja",AD100="Mayor"),AND(AB100="Media",AD100="Mayor"),AND(AB100="Alta",AD100="Moderado"),AND(AB100="Alta",AD100="Mayor"),AND(AB100="Muy Alta",AD100="Leve"),AND(AB100="Muy Alta",AD100="Menor"),AND(AB100="Muy Alta",AD100="Moderado"),AND(AB100="Muy Alta",AD100="Mayor")),"Alto",IF(OR(AND(AB100="Muy Baja",AD100="Catastrófico"),AND(AB100="Baja",AD100="Catastrófico"),AND(AB100="Media",AD100="Catastrófico"),AND(AB100="Alta",AD100="Catastrófico"),AND(AB100="Muy Alta",AD100="Catastrófico")),"Extremo","")))),"")</f>
        <v>Moderado</v>
      </c>
      <c r="AG100" s="146" t="s">
        <v>31</v>
      </c>
      <c r="AH100" s="147"/>
      <c r="AI100" s="148"/>
      <c r="AJ100" s="149"/>
      <c r="AK100" s="149"/>
      <c r="AL100" s="147"/>
      <c r="AM100" s="150"/>
    </row>
    <row r="101" spans="2:39" ht="81.75" thickBot="1" x14ac:dyDescent="0.3">
      <c r="B101" s="224"/>
      <c r="C101" s="404"/>
      <c r="D101" s="405"/>
      <c r="E101" s="406"/>
      <c r="F101" s="406"/>
      <c r="G101" s="407"/>
      <c r="H101" s="405"/>
      <c r="I101" s="408"/>
      <c r="J101" s="402"/>
      <c r="K101" s="401"/>
      <c r="L101" s="400"/>
      <c r="M101" s="401">
        <f>IF(NOT(ISERROR(MATCH(L101,_xlfn.ANCHORARRAY(#REF!),0))),#REF!&amp;"Por favor no seleccionar los criterios de impacto",L101)</f>
        <v>0</v>
      </c>
      <c r="N101" s="402"/>
      <c r="O101" s="401"/>
      <c r="P101" s="403"/>
      <c r="Q101" s="137">
        <v>2</v>
      </c>
      <c r="R101" s="156" t="s">
        <v>486</v>
      </c>
      <c r="S101" s="165" t="s">
        <v>479</v>
      </c>
      <c r="T101" s="139" t="str">
        <f t="shared" si="113"/>
        <v>Probabilidad</v>
      </c>
      <c r="U101" s="140" t="s">
        <v>14</v>
      </c>
      <c r="V101" s="140" t="s">
        <v>9</v>
      </c>
      <c r="W101" s="141" t="str">
        <f t="shared" si="114"/>
        <v>40%</v>
      </c>
      <c r="X101" s="140" t="s">
        <v>19</v>
      </c>
      <c r="Y101" s="140" t="s">
        <v>22</v>
      </c>
      <c r="Z101" s="140" t="s">
        <v>120</v>
      </c>
      <c r="AA101" s="142">
        <f t="shared" si="126"/>
        <v>0</v>
      </c>
      <c r="AB101" s="143" t="str">
        <f t="shared" si="127"/>
        <v>Muy Baja</v>
      </c>
      <c r="AC101" s="144">
        <f t="shared" si="115"/>
        <v>0</v>
      </c>
      <c r="AD101" s="143" t="str">
        <f t="shared" ref="AD101" si="134">IFERROR(IF(AE101="","",IF(AE101&lt;=0.2,"Leve",IF(AE101&lt;=0.4,"Menor",IF(AE101&lt;=0.6,"Moderado",IF(AE101&lt;=0.8,"Mayor","Catastrófico"))))),"")</f>
        <v>Leve</v>
      </c>
      <c r="AE101" s="144">
        <f t="shared" si="116"/>
        <v>0</v>
      </c>
      <c r="AF101" s="145" t="str">
        <f t="shared" si="133"/>
        <v>Bajo</v>
      </c>
      <c r="AG101" s="146" t="s">
        <v>31</v>
      </c>
      <c r="AH101" s="147"/>
      <c r="AI101" s="148"/>
      <c r="AJ101" s="149"/>
      <c r="AK101" s="149"/>
      <c r="AL101" s="147"/>
      <c r="AM101" s="150"/>
    </row>
    <row r="103" spans="2:39" ht="15.75" customHeight="1" x14ac:dyDescent="0.25">
      <c r="F103" s="264" t="s">
        <v>480</v>
      </c>
      <c r="G103" s="264"/>
      <c r="H103" s="264"/>
      <c r="I103" s="264"/>
      <c r="J103" s="264"/>
      <c r="K103" s="264"/>
      <c r="L103" s="264"/>
      <c r="M103" s="264"/>
      <c r="N103" s="264"/>
      <c r="O103" s="264"/>
      <c r="P103" s="264"/>
    </row>
    <row r="104" spans="2:39" x14ac:dyDescent="0.25">
      <c r="F104" s="266" t="s">
        <v>481</v>
      </c>
      <c r="G104" s="266"/>
      <c r="H104" s="169" t="s">
        <v>482</v>
      </c>
      <c r="I104" s="265" t="s">
        <v>483</v>
      </c>
      <c r="J104" s="265"/>
      <c r="K104" s="265"/>
      <c r="L104" s="265"/>
      <c r="M104" s="265"/>
      <c r="N104" s="265"/>
      <c r="O104" s="265"/>
      <c r="P104" s="265"/>
    </row>
    <row r="105" spans="2:39" ht="14.25" x14ac:dyDescent="0.25">
      <c r="F105" s="267">
        <v>44923</v>
      </c>
      <c r="G105" s="267"/>
      <c r="H105" s="172">
        <v>1</v>
      </c>
      <c r="I105" s="268" t="s">
        <v>494</v>
      </c>
      <c r="J105" s="268"/>
      <c r="K105" s="268"/>
      <c r="L105" s="268"/>
      <c r="M105" s="268"/>
      <c r="N105" s="268"/>
      <c r="O105" s="268"/>
      <c r="P105" s="268"/>
    </row>
  </sheetData>
  <autoFilter ref="A12:AM101" xr:uid="{00000000-0001-0000-0100-000000000000}"/>
  <dataConsolidate link="1"/>
  <mergeCells count="416">
    <mergeCell ref="L100:L101"/>
    <mergeCell ref="M100:M101"/>
    <mergeCell ref="N100:N101"/>
    <mergeCell ref="O100:O101"/>
    <mergeCell ref="P100:P101"/>
    <mergeCell ref="C100:C101"/>
    <mergeCell ref="D100:D101"/>
    <mergeCell ref="E100:E101"/>
    <mergeCell ref="F100:F101"/>
    <mergeCell ref="G100:G101"/>
    <mergeCell ref="H100:H101"/>
    <mergeCell ref="I100:I101"/>
    <mergeCell ref="J100:J101"/>
    <mergeCell ref="K100:K101"/>
    <mergeCell ref="L92:L94"/>
    <mergeCell ref="M92:M94"/>
    <mergeCell ref="N92:N94"/>
    <mergeCell ref="O92:O94"/>
    <mergeCell ref="P92:P94"/>
    <mergeCell ref="C92:C94"/>
    <mergeCell ref="D92:D94"/>
    <mergeCell ref="E92:E94"/>
    <mergeCell ref="F92:F94"/>
    <mergeCell ref="G92:G94"/>
    <mergeCell ref="H92:H94"/>
    <mergeCell ref="I92:I94"/>
    <mergeCell ref="J92:J94"/>
    <mergeCell ref="K92:K94"/>
    <mergeCell ref="P47:P48"/>
    <mergeCell ref="C47:C48"/>
    <mergeCell ref="D47:D48"/>
    <mergeCell ref="E47:E48"/>
    <mergeCell ref="F47:F48"/>
    <mergeCell ref="G47:G48"/>
    <mergeCell ref="H47:H48"/>
    <mergeCell ref="I47:I48"/>
    <mergeCell ref="J47:J48"/>
    <mergeCell ref="K47:K48"/>
    <mergeCell ref="O47:O48"/>
    <mergeCell ref="L47:L48"/>
    <mergeCell ref="M47:M48"/>
    <mergeCell ref="N47:N48"/>
    <mergeCell ref="H34:H36"/>
    <mergeCell ref="I34:I36"/>
    <mergeCell ref="J34:J36"/>
    <mergeCell ref="K34:K36"/>
    <mergeCell ref="H43:H45"/>
    <mergeCell ref="I43:I45"/>
    <mergeCell ref="J43:J45"/>
    <mergeCell ref="K43:K45"/>
    <mergeCell ref="C40:C42"/>
    <mergeCell ref="D40:D42"/>
    <mergeCell ref="H40:H42"/>
    <mergeCell ref="I40:I42"/>
    <mergeCell ref="J40:J42"/>
    <mergeCell ref="K40:K42"/>
    <mergeCell ref="C43:C45"/>
    <mergeCell ref="D43:D45"/>
    <mergeCell ref="E40:E42"/>
    <mergeCell ref="F40:F42"/>
    <mergeCell ref="G40:G42"/>
    <mergeCell ref="E43:E45"/>
    <mergeCell ref="F43:F45"/>
    <mergeCell ref="G43:G45"/>
    <mergeCell ref="L34:L36"/>
    <mergeCell ref="M34:M36"/>
    <mergeCell ref="N34:N36"/>
    <mergeCell ref="O34:O36"/>
    <mergeCell ref="P34:P36"/>
    <mergeCell ref="C31:C32"/>
    <mergeCell ref="D31:D32"/>
    <mergeCell ref="E31:E32"/>
    <mergeCell ref="F31:F32"/>
    <mergeCell ref="G31:G32"/>
    <mergeCell ref="H31:H32"/>
    <mergeCell ref="I31:I32"/>
    <mergeCell ref="J31:J32"/>
    <mergeCell ref="K31:K32"/>
    <mergeCell ref="L31:L32"/>
    <mergeCell ref="M31:M32"/>
    <mergeCell ref="N31:N32"/>
    <mergeCell ref="O31:O32"/>
    <mergeCell ref="P31:P32"/>
    <mergeCell ref="C34:C36"/>
    <mergeCell ref="D34:D36"/>
    <mergeCell ref="E34:E36"/>
    <mergeCell ref="F34:F36"/>
    <mergeCell ref="G34:G36"/>
    <mergeCell ref="Q6:X6"/>
    <mergeCell ref="J10:P10"/>
    <mergeCell ref="Q10:Z10"/>
    <mergeCell ref="AA10:AG10"/>
    <mergeCell ref="AH10:AM10"/>
    <mergeCell ref="O24:O26"/>
    <mergeCell ref="P24:P26"/>
    <mergeCell ref="C27:C29"/>
    <mergeCell ref="D27:D29"/>
    <mergeCell ref="E27:E29"/>
    <mergeCell ref="F27:F29"/>
    <mergeCell ref="G27:G29"/>
    <mergeCell ref="H27:H29"/>
    <mergeCell ref="I27:I29"/>
    <mergeCell ref="J27:J29"/>
    <mergeCell ref="K27:K29"/>
    <mergeCell ref="L27:L29"/>
    <mergeCell ref="M27:M29"/>
    <mergeCell ref="N27:N29"/>
    <mergeCell ref="O27:O29"/>
    <mergeCell ref="P27:P29"/>
    <mergeCell ref="L24:L26"/>
    <mergeCell ref="M24:M26"/>
    <mergeCell ref="N24:N26"/>
    <mergeCell ref="C24:C26"/>
    <mergeCell ref="D24:D26"/>
    <mergeCell ref="E24:E26"/>
    <mergeCell ref="F24:F26"/>
    <mergeCell ref="G24:G26"/>
    <mergeCell ref="H24:H26"/>
    <mergeCell ref="I24:I26"/>
    <mergeCell ref="J24:J26"/>
    <mergeCell ref="K24:K26"/>
    <mergeCell ref="M19:M20"/>
    <mergeCell ref="N19:N20"/>
    <mergeCell ref="O19:O20"/>
    <mergeCell ref="P19:P20"/>
    <mergeCell ref="C19:C20"/>
    <mergeCell ref="D19:D20"/>
    <mergeCell ref="E19:E20"/>
    <mergeCell ref="F19:F20"/>
    <mergeCell ref="G19:G20"/>
    <mergeCell ref="H19:H20"/>
    <mergeCell ref="I19:I20"/>
    <mergeCell ref="J19:J20"/>
    <mergeCell ref="AM11:AM12"/>
    <mergeCell ref="AL11:AL12"/>
    <mergeCell ref="AK11:AK12"/>
    <mergeCell ref="AJ11:AJ12"/>
    <mergeCell ref="AI11:AI12"/>
    <mergeCell ref="C7:D7"/>
    <mergeCell ref="C8:D8"/>
    <mergeCell ref="C9:D9"/>
    <mergeCell ref="C11:C12"/>
    <mergeCell ref="H11:H12"/>
    <mergeCell ref="G11:G12"/>
    <mergeCell ref="F11:F12"/>
    <mergeCell ref="E11:E12"/>
    <mergeCell ref="AG11:AG12"/>
    <mergeCell ref="E8:P8"/>
    <mergeCell ref="E9:P9"/>
    <mergeCell ref="Q11:Q12"/>
    <mergeCell ref="AF11:AF12"/>
    <mergeCell ref="AE11:AE12"/>
    <mergeCell ref="AA11:AA12"/>
    <mergeCell ref="S11:S12"/>
    <mergeCell ref="E7:P7"/>
    <mergeCell ref="Q7:T7"/>
    <mergeCell ref="C10:I10"/>
    <mergeCell ref="D11:D12"/>
    <mergeCell ref="P11:P12"/>
    <mergeCell ref="L11:L12"/>
    <mergeCell ref="M11:M12"/>
    <mergeCell ref="T11:T12"/>
    <mergeCell ref="U11:Z11"/>
    <mergeCell ref="AH11:AH12"/>
    <mergeCell ref="L13:L15"/>
    <mergeCell ref="M13:M15"/>
    <mergeCell ref="N13:N15"/>
    <mergeCell ref="O13:O15"/>
    <mergeCell ref="AD11:AD12"/>
    <mergeCell ref="AB11:AB12"/>
    <mergeCell ref="AC11:AC12"/>
    <mergeCell ref="I11:I12"/>
    <mergeCell ref="J11:J12"/>
    <mergeCell ref="K11:K12"/>
    <mergeCell ref="N11:N12"/>
    <mergeCell ref="O11:O12"/>
    <mergeCell ref="H13:H15"/>
    <mergeCell ref="I13:I15"/>
    <mergeCell ref="J13:J15"/>
    <mergeCell ref="F6:G6"/>
    <mergeCell ref="H6:I6"/>
    <mergeCell ref="J6:L6"/>
    <mergeCell ref="C1:E6"/>
    <mergeCell ref="F1:P2"/>
    <mergeCell ref="F3:P3"/>
    <mergeCell ref="F4:P4"/>
    <mergeCell ref="F5:G5"/>
    <mergeCell ref="H5:I5"/>
    <mergeCell ref="J5:L5"/>
    <mergeCell ref="M5:P5"/>
    <mergeCell ref="M6:P6"/>
    <mergeCell ref="K49:K50"/>
    <mergeCell ref="C13:C15"/>
    <mergeCell ref="D13:D15"/>
    <mergeCell ref="E13:E15"/>
    <mergeCell ref="F13:F15"/>
    <mergeCell ref="G13:G15"/>
    <mergeCell ref="P13:P15"/>
    <mergeCell ref="K13:K15"/>
    <mergeCell ref="O37:O39"/>
    <mergeCell ref="P37:P39"/>
    <mergeCell ref="C37:C39"/>
    <mergeCell ref="D37:D39"/>
    <mergeCell ref="H37:H39"/>
    <mergeCell ref="I37:I39"/>
    <mergeCell ref="J37:J39"/>
    <mergeCell ref="K37:K39"/>
    <mergeCell ref="L37:L39"/>
    <mergeCell ref="M37:M39"/>
    <mergeCell ref="N37:N39"/>
    <mergeCell ref="E37:E39"/>
    <mergeCell ref="F37:F39"/>
    <mergeCell ref="G37:G39"/>
    <mergeCell ref="K19:K20"/>
    <mergeCell ref="L19:L20"/>
    <mergeCell ref="O49:O50"/>
    <mergeCell ref="P49:P50"/>
    <mergeCell ref="C51:C52"/>
    <mergeCell ref="D51:D52"/>
    <mergeCell ref="E51:E52"/>
    <mergeCell ref="F51:F52"/>
    <mergeCell ref="G51:G52"/>
    <mergeCell ref="H51:H52"/>
    <mergeCell ref="I51:I52"/>
    <mergeCell ref="J51:J52"/>
    <mergeCell ref="K51:K52"/>
    <mergeCell ref="L51:L52"/>
    <mergeCell ref="M51:M52"/>
    <mergeCell ref="N51:N52"/>
    <mergeCell ref="O51:O52"/>
    <mergeCell ref="P51:P52"/>
    <mergeCell ref="C49:C50"/>
    <mergeCell ref="D49:D50"/>
    <mergeCell ref="E49:E50"/>
    <mergeCell ref="F49:F50"/>
    <mergeCell ref="G49:G50"/>
    <mergeCell ref="H49:H50"/>
    <mergeCell ref="I49:I50"/>
    <mergeCell ref="J49:J50"/>
    <mergeCell ref="C57:C59"/>
    <mergeCell ref="D57:D59"/>
    <mergeCell ref="H57:H59"/>
    <mergeCell ref="I57:I59"/>
    <mergeCell ref="J57:J59"/>
    <mergeCell ref="K57:K59"/>
    <mergeCell ref="C54:C56"/>
    <mergeCell ref="D54:D56"/>
    <mergeCell ref="E54:E56"/>
    <mergeCell ref="F54:F56"/>
    <mergeCell ref="G54:G56"/>
    <mergeCell ref="H54:H56"/>
    <mergeCell ref="I54:I56"/>
    <mergeCell ref="J54:J56"/>
    <mergeCell ref="K54:K56"/>
    <mergeCell ref="C60:C62"/>
    <mergeCell ref="D60:D62"/>
    <mergeCell ref="E60:E62"/>
    <mergeCell ref="F60:F62"/>
    <mergeCell ref="G60:G62"/>
    <mergeCell ref="H60:H62"/>
    <mergeCell ref="I60:I62"/>
    <mergeCell ref="J60:J62"/>
    <mergeCell ref="K60:K62"/>
    <mergeCell ref="O57:O59"/>
    <mergeCell ref="P57:P59"/>
    <mergeCell ref="L60:L62"/>
    <mergeCell ref="M60:M62"/>
    <mergeCell ref="N60:N62"/>
    <mergeCell ref="O60:O62"/>
    <mergeCell ref="P60:P62"/>
    <mergeCell ref="L63:L64"/>
    <mergeCell ref="M63:M64"/>
    <mergeCell ref="N63:N64"/>
    <mergeCell ref="O63:O64"/>
    <mergeCell ref="P63:P64"/>
    <mergeCell ref="L65:L66"/>
    <mergeCell ref="M65:M66"/>
    <mergeCell ref="N65:N66"/>
    <mergeCell ref="O65:O66"/>
    <mergeCell ref="P65:P66"/>
    <mergeCell ref="C63:C64"/>
    <mergeCell ref="D63:D64"/>
    <mergeCell ref="E63:E64"/>
    <mergeCell ref="F63:F64"/>
    <mergeCell ref="G63:G64"/>
    <mergeCell ref="C65:C66"/>
    <mergeCell ref="D65:D66"/>
    <mergeCell ref="E65:E66"/>
    <mergeCell ref="F65:F66"/>
    <mergeCell ref="G65:G66"/>
    <mergeCell ref="H65:H66"/>
    <mergeCell ref="I65:I66"/>
    <mergeCell ref="J65:J66"/>
    <mergeCell ref="K65:K66"/>
    <mergeCell ref="H63:H64"/>
    <mergeCell ref="I63:I64"/>
    <mergeCell ref="J63:J64"/>
    <mergeCell ref="K63:K64"/>
    <mergeCell ref="C67:C68"/>
    <mergeCell ref="D67:D68"/>
    <mergeCell ref="E67:E68"/>
    <mergeCell ref="F67:F68"/>
    <mergeCell ref="G67:G68"/>
    <mergeCell ref="H67:H68"/>
    <mergeCell ref="I67:I68"/>
    <mergeCell ref="J67:J68"/>
    <mergeCell ref="K67:K68"/>
    <mergeCell ref="L67:L68"/>
    <mergeCell ref="M67:M68"/>
    <mergeCell ref="N67:N68"/>
    <mergeCell ref="O67:O68"/>
    <mergeCell ref="P67:P68"/>
    <mergeCell ref="L70:L71"/>
    <mergeCell ref="M70:M71"/>
    <mergeCell ref="N70:N71"/>
    <mergeCell ref="O70:O71"/>
    <mergeCell ref="P70:P71"/>
    <mergeCell ref="L72:L73"/>
    <mergeCell ref="M72:M73"/>
    <mergeCell ref="N72:N73"/>
    <mergeCell ref="O72:O73"/>
    <mergeCell ref="P72:P73"/>
    <mergeCell ref="C70:C71"/>
    <mergeCell ref="D70:D71"/>
    <mergeCell ref="E70:E71"/>
    <mergeCell ref="F70:F71"/>
    <mergeCell ref="G70:G71"/>
    <mergeCell ref="C72:C73"/>
    <mergeCell ref="D72:D73"/>
    <mergeCell ref="E72:E73"/>
    <mergeCell ref="F72:F73"/>
    <mergeCell ref="G72:G73"/>
    <mergeCell ref="H72:H73"/>
    <mergeCell ref="I72:I73"/>
    <mergeCell ref="J72:J73"/>
    <mergeCell ref="K72:K73"/>
    <mergeCell ref="H70:H71"/>
    <mergeCell ref="I70:I71"/>
    <mergeCell ref="J70:J71"/>
    <mergeCell ref="K70:K71"/>
    <mergeCell ref="AC47:AC48"/>
    <mergeCell ref="AD47:AD48"/>
    <mergeCell ref="AE47:AE48"/>
    <mergeCell ref="AF47:AF48"/>
    <mergeCell ref="AG47:AG48"/>
    <mergeCell ref="U47:U48"/>
    <mergeCell ref="V47:V48"/>
    <mergeCell ref="W47:W48"/>
    <mergeCell ref="T47:T48"/>
    <mergeCell ref="AG49:AG50"/>
    <mergeCell ref="E57:E59"/>
    <mergeCell ref="F57:F59"/>
    <mergeCell ref="G57:G59"/>
    <mergeCell ref="T49:T50"/>
    <mergeCell ref="U49:U50"/>
    <mergeCell ref="V49:V50"/>
    <mergeCell ref="W49:W50"/>
    <mergeCell ref="X49:X50"/>
    <mergeCell ref="Y49:Y50"/>
    <mergeCell ref="Z49:Z50"/>
    <mergeCell ref="AB49:AB50"/>
    <mergeCell ref="AC49:AC50"/>
    <mergeCell ref="L54:L56"/>
    <mergeCell ref="M54:M56"/>
    <mergeCell ref="N54:N56"/>
    <mergeCell ref="O54:O56"/>
    <mergeCell ref="P54:P56"/>
    <mergeCell ref="L49:L50"/>
    <mergeCell ref="M49:M50"/>
    <mergeCell ref="N49:N50"/>
    <mergeCell ref="L57:L59"/>
    <mergeCell ref="M57:M59"/>
    <mergeCell ref="N57:N59"/>
    <mergeCell ref="C83:C84"/>
    <mergeCell ref="D83:D84"/>
    <mergeCell ref="E83:E84"/>
    <mergeCell ref="F83:F84"/>
    <mergeCell ref="G83:G84"/>
    <mergeCell ref="H83:H84"/>
    <mergeCell ref="I83:I84"/>
    <mergeCell ref="J83:J84"/>
    <mergeCell ref="K83:K84"/>
    <mergeCell ref="L40:L42"/>
    <mergeCell ref="M40:M42"/>
    <mergeCell ref="N40:N42"/>
    <mergeCell ref="O40:O42"/>
    <mergeCell ref="P40:P42"/>
    <mergeCell ref="L43:L45"/>
    <mergeCell ref="M43:M45"/>
    <mergeCell ref="N43:N45"/>
    <mergeCell ref="O43:O45"/>
    <mergeCell ref="P43:P45"/>
    <mergeCell ref="F103:P103"/>
    <mergeCell ref="I104:P104"/>
    <mergeCell ref="F104:G104"/>
    <mergeCell ref="F105:G105"/>
    <mergeCell ref="I105:P105"/>
    <mergeCell ref="AB19:AB20"/>
    <mergeCell ref="AF19:AF20"/>
    <mergeCell ref="AB31:AB32"/>
    <mergeCell ref="AF31:AF32"/>
    <mergeCell ref="AB34:AB36"/>
    <mergeCell ref="AA47:AA48"/>
    <mergeCell ref="AA49:AA50"/>
    <mergeCell ref="L83:L84"/>
    <mergeCell ref="M83:M84"/>
    <mergeCell ref="N83:N84"/>
    <mergeCell ref="O83:O84"/>
    <mergeCell ref="P83:P84"/>
    <mergeCell ref="AD49:AD50"/>
    <mergeCell ref="AE49:AE50"/>
    <mergeCell ref="AF49:AF50"/>
    <mergeCell ref="X47:X48"/>
    <mergeCell ref="Y47:Y48"/>
    <mergeCell ref="Z47:Z48"/>
    <mergeCell ref="AB47:AB48"/>
  </mergeCells>
  <conditionalFormatting sqref="J13 AB13:AB19 AB33:AB34 AB37:AB47 AB49 AB51:AB101">
    <cfRule type="cellIs" dxfId="340" priority="1085" operator="equal">
      <formula>"Muy Alta"</formula>
    </cfRule>
    <cfRule type="cellIs" dxfId="339" priority="1086" operator="equal">
      <formula>"Alta"</formula>
    </cfRule>
    <cfRule type="cellIs" dxfId="338" priority="1087" operator="equal">
      <formula>"Media"</formula>
    </cfRule>
    <cfRule type="cellIs" dxfId="337" priority="1088" operator="equal">
      <formula>"Baja"</formula>
    </cfRule>
    <cfRule type="cellIs" dxfId="336" priority="1089" operator="equal">
      <formula>"Muy Baja"</formula>
    </cfRule>
  </conditionalFormatting>
  <conditionalFormatting sqref="J16:J19">
    <cfRule type="cellIs" dxfId="335" priority="1175" operator="equal">
      <formula>"Muy Alta"</formula>
    </cfRule>
    <cfRule type="cellIs" dxfId="334" priority="1176" operator="equal">
      <formula>"Alta"</formula>
    </cfRule>
    <cfRule type="cellIs" dxfId="333" priority="1177" operator="equal">
      <formula>"Media"</formula>
    </cfRule>
    <cfRule type="cellIs" dxfId="332" priority="1178" operator="equal">
      <formula>"Baja"</formula>
    </cfRule>
    <cfRule type="cellIs" dxfId="331" priority="1179" operator="equal">
      <formula>"Muy Baja"</formula>
    </cfRule>
  </conditionalFormatting>
  <conditionalFormatting sqref="J21:J24">
    <cfRule type="cellIs" dxfId="330" priority="1115" operator="equal">
      <formula>"Muy Alta"</formula>
    </cfRule>
    <cfRule type="cellIs" dxfId="329" priority="1116" operator="equal">
      <formula>"Alta"</formula>
    </cfRule>
    <cfRule type="cellIs" dxfId="328" priority="1117" operator="equal">
      <formula>"Media"</formula>
    </cfRule>
    <cfRule type="cellIs" dxfId="327" priority="1118" operator="equal">
      <formula>"Baja"</formula>
    </cfRule>
    <cfRule type="cellIs" dxfId="326" priority="1119" operator="equal">
      <formula>"Muy Baja"</formula>
    </cfRule>
  </conditionalFormatting>
  <conditionalFormatting sqref="J27">
    <cfRule type="cellIs" dxfId="325" priority="1100" operator="equal">
      <formula>"Muy Alta"</formula>
    </cfRule>
    <cfRule type="cellIs" dxfId="324" priority="1101" operator="equal">
      <formula>"Alta"</formula>
    </cfRule>
    <cfRule type="cellIs" dxfId="323" priority="1102" operator="equal">
      <formula>"Media"</formula>
    </cfRule>
    <cfRule type="cellIs" dxfId="322" priority="1103" operator="equal">
      <formula>"Baja"</formula>
    </cfRule>
    <cfRule type="cellIs" dxfId="321" priority="1104" operator="equal">
      <formula>"Muy Baja"</formula>
    </cfRule>
  </conditionalFormatting>
  <conditionalFormatting sqref="J30:J31">
    <cfRule type="cellIs" dxfId="320" priority="805" operator="equal">
      <formula>"Muy Alta"</formula>
    </cfRule>
    <cfRule type="cellIs" dxfId="319" priority="806" operator="equal">
      <formula>"Alta"</formula>
    </cfRule>
    <cfRule type="cellIs" dxfId="318" priority="807" operator="equal">
      <formula>"Media"</formula>
    </cfRule>
    <cfRule type="cellIs" dxfId="317" priority="808" operator="equal">
      <formula>"Baja"</formula>
    </cfRule>
    <cfRule type="cellIs" dxfId="316" priority="809" operator="equal">
      <formula>"Muy Baja"</formula>
    </cfRule>
  </conditionalFormatting>
  <conditionalFormatting sqref="J33:J34">
    <cfRule type="cellIs" dxfId="315" priority="777" operator="equal">
      <formula>"Muy Alta"</formula>
    </cfRule>
    <cfRule type="cellIs" dxfId="314" priority="778" operator="equal">
      <formula>"Alta"</formula>
    </cfRule>
    <cfRule type="cellIs" dxfId="313" priority="779" operator="equal">
      <formula>"Media"</formula>
    </cfRule>
    <cfRule type="cellIs" dxfId="312" priority="780" operator="equal">
      <formula>"Baja"</formula>
    </cfRule>
    <cfRule type="cellIs" dxfId="311" priority="781" operator="equal">
      <formula>"Muy Baja"</formula>
    </cfRule>
  </conditionalFormatting>
  <conditionalFormatting sqref="J37">
    <cfRule type="cellIs" dxfId="310" priority="763" operator="equal">
      <formula>"Muy Alta"</formula>
    </cfRule>
    <cfRule type="cellIs" dxfId="309" priority="764" operator="equal">
      <formula>"Alta"</formula>
    </cfRule>
    <cfRule type="cellIs" dxfId="308" priority="765" operator="equal">
      <formula>"Media"</formula>
    </cfRule>
    <cfRule type="cellIs" dxfId="307" priority="766" operator="equal">
      <formula>"Baja"</formula>
    </cfRule>
    <cfRule type="cellIs" dxfId="306" priority="767" operator="equal">
      <formula>"Muy Baja"</formula>
    </cfRule>
  </conditionalFormatting>
  <conditionalFormatting sqref="J40">
    <cfRule type="cellIs" dxfId="305" priority="749" operator="equal">
      <formula>"Muy Alta"</formula>
    </cfRule>
    <cfRule type="cellIs" dxfId="304" priority="750" operator="equal">
      <formula>"Alta"</formula>
    </cfRule>
    <cfRule type="cellIs" dxfId="303" priority="751" operator="equal">
      <formula>"Media"</formula>
    </cfRule>
    <cfRule type="cellIs" dxfId="302" priority="752" operator="equal">
      <formula>"Baja"</formula>
    </cfRule>
    <cfRule type="cellIs" dxfId="301" priority="753" operator="equal">
      <formula>"Muy Baja"</formula>
    </cfRule>
  </conditionalFormatting>
  <conditionalFormatting sqref="J43">
    <cfRule type="cellIs" dxfId="300" priority="735" operator="equal">
      <formula>"Muy Alta"</formula>
    </cfRule>
    <cfRule type="cellIs" dxfId="299" priority="736" operator="equal">
      <formula>"Alta"</formula>
    </cfRule>
    <cfRule type="cellIs" dxfId="298" priority="737" operator="equal">
      <formula>"Media"</formula>
    </cfRule>
    <cfRule type="cellIs" dxfId="297" priority="738" operator="equal">
      <formula>"Baja"</formula>
    </cfRule>
    <cfRule type="cellIs" dxfId="296" priority="739" operator="equal">
      <formula>"Muy Baja"</formula>
    </cfRule>
  </conditionalFormatting>
  <conditionalFormatting sqref="J46:J47">
    <cfRule type="cellIs" dxfId="295" priority="707" operator="equal">
      <formula>"Muy Alta"</formula>
    </cfRule>
    <cfRule type="cellIs" dxfId="294" priority="708" operator="equal">
      <formula>"Alta"</formula>
    </cfRule>
    <cfRule type="cellIs" dxfId="293" priority="709" operator="equal">
      <formula>"Media"</formula>
    </cfRule>
    <cfRule type="cellIs" dxfId="292" priority="710" operator="equal">
      <formula>"Baja"</formula>
    </cfRule>
    <cfRule type="cellIs" dxfId="291" priority="711" operator="equal">
      <formula>"Muy Baja"</formula>
    </cfRule>
  </conditionalFormatting>
  <conditionalFormatting sqref="J49">
    <cfRule type="cellIs" dxfId="290" priority="693" operator="equal">
      <formula>"Muy Alta"</formula>
    </cfRule>
    <cfRule type="cellIs" dxfId="289" priority="694" operator="equal">
      <formula>"Alta"</formula>
    </cfRule>
    <cfRule type="cellIs" dxfId="288" priority="695" operator="equal">
      <formula>"Media"</formula>
    </cfRule>
    <cfRule type="cellIs" dxfId="287" priority="696" operator="equal">
      <formula>"Baja"</formula>
    </cfRule>
    <cfRule type="cellIs" dxfId="286" priority="697" operator="equal">
      <formula>"Muy Baja"</formula>
    </cfRule>
  </conditionalFormatting>
  <conditionalFormatting sqref="J51">
    <cfRule type="cellIs" dxfId="285" priority="679" operator="equal">
      <formula>"Muy Alta"</formula>
    </cfRule>
    <cfRule type="cellIs" dxfId="284" priority="680" operator="equal">
      <formula>"Alta"</formula>
    </cfRule>
    <cfRule type="cellIs" dxfId="283" priority="681" operator="equal">
      <formula>"Media"</formula>
    </cfRule>
    <cfRule type="cellIs" dxfId="282" priority="682" operator="equal">
      <formula>"Baja"</formula>
    </cfRule>
    <cfRule type="cellIs" dxfId="281" priority="683" operator="equal">
      <formula>"Muy Baja"</formula>
    </cfRule>
  </conditionalFormatting>
  <conditionalFormatting sqref="J53:J54">
    <cfRule type="cellIs" dxfId="280" priority="651" operator="equal">
      <formula>"Muy Alta"</formula>
    </cfRule>
    <cfRule type="cellIs" dxfId="279" priority="652" operator="equal">
      <formula>"Alta"</formula>
    </cfRule>
    <cfRule type="cellIs" dxfId="278" priority="653" operator="equal">
      <formula>"Media"</formula>
    </cfRule>
    <cfRule type="cellIs" dxfId="277" priority="654" operator="equal">
      <formula>"Baja"</formula>
    </cfRule>
    <cfRule type="cellIs" dxfId="276" priority="655" operator="equal">
      <formula>"Muy Baja"</formula>
    </cfRule>
  </conditionalFormatting>
  <conditionalFormatting sqref="J57">
    <cfRule type="cellIs" dxfId="275" priority="637" operator="equal">
      <formula>"Muy Alta"</formula>
    </cfRule>
    <cfRule type="cellIs" dxfId="274" priority="638" operator="equal">
      <formula>"Alta"</formula>
    </cfRule>
    <cfRule type="cellIs" dxfId="273" priority="639" operator="equal">
      <formula>"Media"</formula>
    </cfRule>
    <cfRule type="cellIs" dxfId="272" priority="640" operator="equal">
      <formula>"Baja"</formula>
    </cfRule>
    <cfRule type="cellIs" dxfId="271" priority="641" operator="equal">
      <formula>"Muy Baja"</formula>
    </cfRule>
  </conditionalFormatting>
  <conditionalFormatting sqref="J60">
    <cfRule type="cellIs" dxfId="270" priority="623" operator="equal">
      <formula>"Muy Alta"</formula>
    </cfRule>
    <cfRule type="cellIs" dxfId="269" priority="624" operator="equal">
      <formula>"Alta"</formula>
    </cfRule>
    <cfRule type="cellIs" dxfId="268" priority="625" operator="equal">
      <formula>"Media"</formula>
    </cfRule>
    <cfRule type="cellIs" dxfId="267" priority="626" operator="equal">
      <formula>"Baja"</formula>
    </cfRule>
    <cfRule type="cellIs" dxfId="266" priority="627" operator="equal">
      <formula>"Muy Baja"</formula>
    </cfRule>
  </conditionalFormatting>
  <conditionalFormatting sqref="J63">
    <cfRule type="cellIs" dxfId="265" priority="609" operator="equal">
      <formula>"Muy Alta"</formula>
    </cfRule>
    <cfRule type="cellIs" dxfId="264" priority="610" operator="equal">
      <formula>"Alta"</formula>
    </cfRule>
    <cfRule type="cellIs" dxfId="263" priority="611" operator="equal">
      <formula>"Media"</formula>
    </cfRule>
    <cfRule type="cellIs" dxfId="262" priority="612" operator="equal">
      <formula>"Baja"</formula>
    </cfRule>
    <cfRule type="cellIs" dxfId="261" priority="613" operator="equal">
      <formula>"Muy Baja"</formula>
    </cfRule>
  </conditionalFormatting>
  <conditionalFormatting sqref="J65">
    <cfRule type="cellIs" dxfId="260" priority="595" operator="equal">
      <formula>"Muy Alta"</formula>
    </cfRule>
    <cfRule type="cellIs" dxfId="259" priority="596" operator="equal">
      <formula>"Alta"</formula>
    </cfRule>
    <cfRule type="cellIs" dxfId="258" priority="597" operator="equal">
      <formula>"Media"</formula>
    </cfRule>
    <cfRule type="cellIs" dxfId="257" priority="598" operator="equal">
      <formula>"Baja"</formula>
    </cfRule>
    <cfRule type="cellIs" dxfId="256" priority="599" operator="equal">
      <formula>"Muy Baja"</formula>
    </cfRule>
  </conditionalFormatting>
  <conditionalFormatting sqref="J67">
    <cfRule type="cellIs" dxfId="255" priority="581" operator="equal">
      <formula>"Muy Alta"</formula>
    </cfRule>
    <cfRule type="cellIs" dxfId="254" priority="582" operator="equal">
      <formula>"Alta"</formula>
    </cfRule>
    <cfRule type="cellIs" dxfId="253" priority="583" operator="equal">
      <formula>"Media"</formula>
    </cfRule>
    <cfRule type="cellIs" dxfId="252" priority="584" operator="equal">
      <formula>"Baja"</formula>
    </cfRule>
    <cfRule type="cellIs" dxfId="251" priority="585" operator="equal">
      <formula>"Muy Baja"</formula>
    </cfRule>
  </conditionalFormatting>
  <conditionalFormatting sqref="J69:J70">
    <cfRule type="cellIs" dxfId="250" priority="553" operator="equal">
      <formula>"Muy Alta"</formula>
    </cfRule>
    <cfRule type="cellIs" dxfId="249" priority="554" operator="equal">
      <formula>"Alta"</formula>
    </cfRule>
    <cfRule type="cellIs" dxfId="248" priority="555" operator="equal">
      <formula>"Media"</formula>
    </cfRule>
    <cfRule type="cellIs" dxfId="247" priority="556" operator="equal">
      <formula>"Baja"</formula>
    </cfRule>
    <cfRule type="cellIs" dxfId="246" priority="557" operator="equal">
      <formula>"Muy Baja"</formula>
    </cfRule>
  </conditionalFormatting>
  <conditionalFormatting sqref="J72">
    <cfRule type="cellIs" dxfId="245" priority="539" operator="equal">
      <formula>"Muy Alta"</formula>
    </cfRule>
    <cfRule type="cellIs" dxfId="244" priority="540" operator="equal">
      <formula>"Alta"</formula>
    </cfRule>
    <cfRule type="cellIs" dxfId="243" priority="541" operator="equal">
      <formula>"Media"</formula>
    </cfRule>
    <cfRule type="cellIs" dxfId="242" priority="542" operator="equal">
      <formula>"Baja"</formula>
    </cfRule>
    <cfRule type="cellIs" dxfId="241" priority="543" operator="equal">
      <formula>"Muy Baja"</formula>
    </cfRule>
  </conditionalFormatting>
  <conditionalFormatting sqref="J74:J83">
    <cfRule type="cellIs" dxfId="240" priority="399" operator="equal">
      <formula>"Muy Alta"</formula>
    </cfRule>
    <cfRule type="cellIs" dxfId="239" priority="400" operator="equal">
      <formula>"Alta"</formula>
    </cfRule>
    <cfRule type="cellIs" dxfId="238" priority="401" operator="equal">
      <formula>"Media"</formula>
    </cfRule>
    <cfRule type="cellIs" dxfId="237" priority="402" operator="equal">
      <formula>"Baja"</formula>
    </cfRule>
    <cfRule type="cellIs" dxfId="236" priority="403" operator="equal">
      <formula>"Muy Baja"</formula>
    </cfRule>
  </conditionalFormatting>
  <conditionalFormatting sqref="J85:J92">
    <cfRule type="cellIs" dxfId="235" priority="287" operator="equal">
      <formula>"Muy Alta"</formula>
    </cfRule>
    <cfRule type="cellIs" dxfId="234" priority="288" operator="equal">
      <formula>"Alta"</formula>
    </cfRule>
    <cfRule type="cellIs" dxfId="233" priority="289" operator="equal">
      <formula>"Media"</formula>
    </cfRule>
    <cfRule type="cellIs" dxfId="232" priority="290" operator="equal">
      <formula>"Baja"</formula>
    </cfRule>
    <cfRule type="cellIs" dxfId="231" priority="291" operator="equal">
      <formula>"Muy Baja"</formula>
    </cfRule>
  </conditionalFormatting>
  <conditionalFormatting sqref="J95:J100">
    <cfRule type="cellIs" dxfId="230" priority="203" operator="equal">
      <formula>"Muy Alta"</formula>
    </cfRule>
    <cfRule type="cellIs" dxfId="229" priority="204" operator="equal">
      <formula>"Alta"</formula>
    </cfRule>
    <cfRule type="cellIs" dxfId="228" priority="205" operator="equal">
      <formula>"Media"</formula>
    </cfRule>
    <cfRule type="cellIs" dxfId="227" priority="206" operator="equal">
      <formula>"Baja"</formula>
    </cfRule>
    <cfRule type="cellIs" dxfId="226" priority="207" operator="equal">
      <formula>"Muy Baja"</formula>
    </cfRule>
  </conditionalFormatting>
  <conditionalFormatting sqref="M13:M101">
    <cfRule type="containsText" dxfId="225" priority="1090" operator="containsText" text="❌">
      <formula>NOT(ISERROR(SEARCH("❌",M13)))</formula>
    </cfRule>
  </conditionalFormatting>
  <conditionalFormatting sqref="N13 AD49 AD51:AD101">
    <cfRule type="cellIs" dxfId="224" priority="1658" operator="equal">
      <formula>"Catastrófico"</formula>
    </cfRule>
    <cfRule type="cellIs" dxfId="223" priority="1659" operator="equal">
      <formula>"Mayor"</formula>
    </cfRule>
    <cfRule type="cellIs" dxfId="222" priority="1660" operator="equal">
      <formula>"Moderado"</formula>
    </cfRule>
    <cfRule type="cellIs" dxfId="221" priority="1661" operator="equal">
      <formula>"Menor"</formula>
    </cfRule>
    <cfRule type="cellIs" dxfId="220" priority="1662" operator="equal">
      <formula>"Leve"</formula>
    </cfRule>
  </conditionalFormatting>
  <conditionalFormatting sqref="N16:N19">
    <cfRule type="cellIs" dxfId="219" priority="1170" operator="equal">
      <formula>"Catastrófico"</formula>
    </cfRule>
    <cfRule type="cellIs" dxfId="218" priority="1171" operator="equal">
      <formula>"Mayor"</formula>
    </cfRule>
    <cfRule type="cellIs" dxfId="217" priority="1172" operator="equal">
      <formula>"Moderado"</formula>
    </cfRule>
    <cfRule type="cellIs" dxfId="216" priority="1173" operator="equal">
      <formula>"Menor"</formula>
    </cfRule>
    <cfRule type="cellIs" dxfId="215" priority="1174" operator="equal">
      <formula>"Leve"</formula>
    </cfRule>
  </conditionalFormatting>
  <conditionalFormatting sqref="N21:N24">
    <cfRule type="cellIs" dxfId="214" priority="1110" operator="equal">
      <formula>"Catastrófico"</formula>
    </cfRule>
    <cfRule type="cellIs" dxfId="213" priority="1111" operator="equal">
      <formula>"Mayor"</formula>
    </cfRule>
    <cfRule type="cellIs" dxfId="212" priority="1112" operator="equal">
      <formula>"Moderado"</formula>
    </cfRule>
    <cfRule type="cellIs" dxfId="211" priority="1113" operator="equal">
      <formula>"Menor"</formula>
    </cfRule>
    <cfRule type="cellIs" dxfId="210" priority="1114" operator="equal">
      <formula>"Leve"</formula>
    </cfRule>
  </conditionalFormatting>
  <conditionalFormatting sqref="N27">
    <cfRule type="cellIs" dxfId="209" priority="1095" operator="equal">
      <formula>"Catastrófico"</formula>
    </cfRule>
    <cfRule type="cellIs" dxfId="208" priority="1096" operator="equal">
      <formula>"Mayor"</formula>
    </cfRule>
    <cfRule type="cellIs" dxfId="207" priority="1097" operator="equal">
      <formula>"Moderado"</formula>
    </cfRule>
    <cfRule type="cellIs" dxfId="206" priority="1098" operator="equal">
      <formula>"Menor"</formula>
    </cfRule>
    <cfRule type="cellIs" dxfId="205" priority="1099" operator="equal">
      <formula>"Leve"</formula>
    </cfRule>
  </conditionalFormatting>
  <conditionalFormatting sqref="N30:N31">
    <cfRule type="cellIs" dxfId="204" priority="800" operator="equal">
      <formula>"Catastrófico"</formula>
    </cfRule>
    <cfRule type="cellIs" dxfId="203" priority="801" operator="equal">
      <formula>"Mayor"</formula>
    </cfRule>
    <cfRule type="cellIs" dxfId="202" priority="802" operator="equal">
      <formula>"Moderado"</formula>
    </cfRule>
    <cfRule type="cellIs" dxfId="201" priority="803" operator="equal">
      <formula>"Menor"</formula>
    </cfRule>
    <cfRule type="cellIs" dxfId="200" priority="804" operator="equal">
      <formula>"Leve"</formula>
    </cfRule>
  </conditionalFormatting>
  <conditionalFormatting sqref="N33:N34">
    <cfRule type="cellIs" dxfId="199" priority="772" operator="equal">
      <formula>"Catastrófico"</formula>
    </cfRule>
    <cfRule type="cellIs" dxfId="198" priority="773" operator="equal">
      <formula>"Mayor"</formula>
    </cfRule>
    <cfRule type="cellIs" dxfId="197" priority="774" operator="equal">
      <formula>"Moderado"</formula>
    </cfRule>
    <cfRule type="cellIs" dxfId="196" priority="775" operator="equal">
      <formula>"Menor"</formula>
    </cfRule>
    <cfRule type="cellIs" dxfId="195" priority="776" operator="equal">
      <formula>"Leve"</formula>
    </cfRule>
  </conditionalFormatting>
  <conditionalFormatting sqref="N37">
    <cfRule type="cellIs" dxfId="194" priority="758" operator="equal">
      <formula>"Catastrófico"</formula>
    </cfRule>
    <cfRule type="cellIs" dxfId="193" priority="759" operator="equal">
      <formula>"Mayor"</formula>
    </cfRule>
    <cfRule type="cellIs" dxfId="192" priority="760" operator="equal">
      <formula>"Moderado"</formula>
    </cfRule>
    <cfRule type="cellIs" dxfId="191" priority="761" operator="equal">
      <formula>"Menor"</formula>
    </cfRule>
    <cfRule type="cellIs" dxfId="190" priority="762" operator="equal">
      <formula>"Leve"</formula>
    </cfRule>
  </conditionalFormatting>
  <conditionalFormatting sqref="N40">
    <cfRule type="cellIs" dxfId="189" priority="744" operator="equal">
      <formula>"Catastrófico"</formula>
    </cfRule>
    <cfRule type="cellIs" dxfId="188" priority="745" operator="equal">
      <formula>"Mayor"</formula>
    </cfRule>
    <cfRule type="cellIs" dxfId="187" priority="746" operator="equal">
      <formula>"Moderado"</formula>
    </cfRule>
    <cfRule type="cellIs" dxfId="186" priority="747" operator="equal">
      <formula>"Menor"</formula>
    </cfRule>
    <cfRule type="cellIs" dxfId="185" priority="748" operator="equal">
      <formula>"Leve"</formula>
    </cfRule>
  </conditionalFormatting>
  <conditionalFormatting sqref="N43">
    <cfRule type="cellIs" dxfId="184" priority="730" operator="equal">
      <formula>"Catastrófico"</formula>
    </cfRule>
    <cfRule type="cellIs" dxfId="183" priority="731" operator="equal">
      <formula>"Mayor"</formula>
    </cfRule>
    <cfRule type="cellIs" dxfId="182" priority="732" operator="equal">
      <formula>"Moderado"</formula>
    </cfRule>
    <cfRule type="cellIs" dxfId="181" priority="733" operator="equal">
      <formula>"Menor"</formula>
    </cfRule>
    <cfRule type="cellIs" dxfId="180" priority="734" operator="equal">
      <formula>"Leve"</formula>
    </cfRule>
  </conditionalFormatting>
  <conditionalFormatting sqref="N46:N47">
    <cfRule type="cellIs" dxfId="179" priority="702" operator="equal">
      <formula>"Catastrófico"</formula>
    </cfRule>
    <cfRule type="cellIs" dxfId="178" priority="703" operator="equal">
      <formula>"Mayor"</formula>
    </cfRule>
    <cfRule type="cellIs" dxfId="177" priority="704" operator="equal">
      <formula>"Moderado"</formula>
    </cfRule>
    <cfRule type="cellIs" dxfId="176" priority="705" operator="equal">
      <formula>"Menor"</formula>
    </cfRule>
    <cfRule type="cellIs" dxfId="175" priority="706" operator="equal">
      <formula>"Leve"</formula>
    </cfRule>
  </conditionalFormatting>
  <conditionalFormatting sqref="N49">
    <cfRule type="cellIs" dxfId="174" priority="688" operator="equal">
      <formula>"Catastrófico"</formula>
    </cfRule>
    <cfRule type="cellIs" dxfId="173" priority="689" operator="equal">
      <formula>"Mayor"</formula>
    </cfRule>
    <cfRule type="cellIs" dxfId="172" priority="690" operator="equal">
      <formula>"Moderado"</formula>
    </cfRule>
    <cfRule type="cellIs" dxfId="171" priority="691" operator="equal">
      <formula>"Menor"</formula>
    </cfRule>
    <cfRule type="cellIs" dxfId="170" priority="692" operator="equal">
      <formula>"Leve"</formula>
    </cfRule>
  </conditionalFormatting>
  <conditionalFormatting sqref="N51">
    <cfRule type="cellIs" dxfId="169" priority="674" operator="equal">
      <formula>"Catastrófico"</formula>
    </cfRule>
    <cfRule type="cellIs" dxfId="168" priority="675" operator="equal">
      <formula>"Mayor"</formula>
    </cfRule>
    <cfRule type="cellIs" dxfId="167" priority="676" operator="equal">
      <formula>"Moderado"</formula>
    </cfRule>
    <cfRule type="cellIs" dxfId="166" priority="677" operator="equal">
      <formula>"Menor"</formula>
    </cfRule>
    <cfRule type="cellIs" dxfId="165" priority="678" operator="equal">
      <formula>"Leve"</formula>
    </cfRule>
  </conditionalFormatting>
  <conditionalFormatting sqref="N53:N54">
    <cfRule type="cellIs" dxfId="164" priority="646" operator="equal">
      <formula>"Catastrófico"</formula>
    </cfRule>
    <cfRule type="cellIs" dxfId="163" priority="647" operator="equal">
      <formula>"Mayor"</formula>
    </cfRule>
    <cfRule type="cellIs" dxfId="162" priority="648" operator="equal">
      <formula>"Moderado"</formula>
    </cfRule>
    <cfRule type="cellIs" dxfId="161" priority="649" operator="equal">
      <formula>"Menor"</formula>
    </cfRule>
    <cfRule type="cellIs" dxfId="160" priority="650" operator="equal">
      <formula>"Leve"</formula>
    </cfRule>
  </conditionalFormatting>
  <conditionalFormatting sqref="N57">
    <cfRule type="cellIs" dxfId="159" priority="632" operator="equal">
      <formula>"Catastrófico"</formula>
    </cfRule>
    <cfRule type="cellIs" dxfId="158" priority="633" operator="equal">
      <formula>"Mayor"</formula>
    </cfRule>
    <cfRule type="cellIs" dxfId="157" priority="634" operator="equal">
      <formula>"Moderado"</formula>
    </cfRule>
    <cfRule type="cellIs" dxfId="156" priority="635" operator="equal">
      <formula>"Menor"</formula>
    </cfRule>
    <cfRule type="cellIs" dxfId="155" priority="636" operator="equal">
      <formula>"Leve"</formula>
    </cfRule>
  </conditionalFormatting>
  <conditionalFormatting sqref="N60">
    <cfRule type="cellIs" dxfId="154" priority="618" operator="equal">
      <formula>"Catastrófico"</formula>
    </cfRule>
    <cfRule type="cellIs" dxfId="153" priority="619" operator="equal">
      <formula>"Mayor"</formula>
    </cfRule>
    <cfRule type="cellIs" dxfId="152" priority="620" operator="equal">
      <formula>"Moderado"</formula>
    </cfRule>
    <cfRule type="cellIs" dxfId="151" priority="621" operator="equal">
      <formula>"Menor"</formula>
    </cfRule>
    <cfRule type="cellIs" dxfId="150" priority="622" operator="equal">
      <formula>"Leve"</formula>
    </cfRule>
  </conditionalFormatting>
  <conditionalFormatting sqref="N63">
    <cfRule type="cellIs" dxfId="149" priority="604" operator="equal">
      <formula>"Catastrófico"</formula>
    </cfRule>
    <cfRule type="cellIs" dxfId="148" priority="605" operator="equal">
      <formula>"Mayor"</formula>
    </cfRule>
    <cfRule type="cellIs" dxfId="147" priority="606" operator="equal">
      <formula>"Moderado"</formula>
    </cfRule>
    <cfRule type="cellIs" dxfId="146" priority="607" operator="equal">
      <formula>"Menor"</formula>
    </cfRule>
    <cfRule type="cellIs" dxfId="145" priority="608" operator="equal">
      <formula>"Leve"</formula>
    </cfRule>
  </conditionalFormatting>
  <conditionalFormatting sqref="N65">
    <cfRule type="cellIs" dxfId="144" priority="590" operator="equal">
      <formula>"Catastrófico"</formula>
    </cfRule>
    <cfRule type="cellIs" dxfId="143" priority="591" operator="equal">
      <formula>"Mayor"</formula>
    </cfRule>
    <cfRule type="cellIs" dxfId="142" priority="592" operator="equal">
      <formula>"Moderado"</formula>
    </cfRule>
    <cfRule type="cellIs" dxfId="141" priority="593" operator="equal">
      <formula>"Menor"</formula>
    </cfRule>
    <cfRule type="cellIs" dxfId="140" priority="594" operator="equal">
      <formula>"Leve"</formula>
    </cfRule>
  </conditionalFormatting>
  <conditionalFormatting sqref="N67">
    <cfRule type="cellIs" dxfId="139" priority="576" operator="equal">
      <formula>"Catastrófico"</formula>
    </cfRule>
    <cfRule type="cellIs" dxfId="138" priority="577" operator="equal">
      <formula>"Mayor"</formula>
    </cfRule>
    <cfRule type="cellIs" dxfId="137" priority="578" operator="equal">
      <formula>"Moderado"</formula>
    </cfRule>
    <cfRule type="cellIs" dxfId="136" priority="579" operator="equal">
      <formula>"Menor"</formula>
    </cfRule>
    <cfRule type="cellIs" dxfId="135" priority="580" operator="equal">
      <formula>"Leve"</formula>
    </cfRule>
  </conditionalFormatting>
  <conditionalFormatting sqref="N69:N70">
    <cfRule type="cellIs" dxfId="134" priority="548" operator="equal">
      <formula>"Catastrófico"</formula>
    </cfRule>
    <cfRule type="cellIs" dxfId="133" priority="549" operator="equal">
      <formula>"Mayor"</formula>
    </cfRule>
    <cfRule type="cellIs" dxfId="132" priority="550" operator="equal">
      <formula>"Moderado"</formula>
    </cfRule>
    <cfRule type="cellIs" dxfId="131" priority="551" operator="equal">
      <formula>"Menor"</formula>
    </cfRule>
    <cfRule type="cellIs" dxfId="130" priority="552" operator="equal">
      <formula>"Leve"</formula>
    </cfRule>
  </conditionalFormatting>
  <conditionalFormatting sqref="N72">
    <cfRule type="cellIs" dxfId="129" priority="534" operator="equal">
      <formula>"Catastrófico"</formula>
    </cfRule>
    <cfRule type="cellIs" dxfId="128" priority="535" operator="equal">
      <formula>"Mayor"</formula>
    </cfRule>
    <cfRule type="cellIs" dxfId="127" priority="536" operator="equal">
      <formula>"Moderado"</formula>
    </cfRule>
    <cfRule type="cellIs" dxfId="126" priority="537" operator="equal">
      <formula>"Menor"</formula>
    </cfRule>
    <cfRule type="cellIs" dxfId="125" priority="538" operator="equal">
      <formula>"Leve"</formula>
    </cfRule>
  </conditionalFormatting>
  <conditionalFormatting sqref="N74:N83">
    <cfRule type="cellIs" dxfId="124" priority="394" operator="equal">
      <formula>"Catastrófico"</formula>
    </cfRule>
    <cfRule type="cellIs" dxfId="123" priority="395" operator="equal">
      <formula>"Mayor"</formula>
    </cfRule>
    <cfRule type="cellIs" dxfId="122" priority="396" operator="equal">
      <formula>"Moderado"</formula>
    </cfRule>
    <cfRule type="cellIs" dxfId="121" priority="397" operator="equal">
      <formula>"Menor"</formula>
    </cfRule>
    <cfRule type="cellIs" dxfId="120" priority="398" operator="equal">
      <formula>"Leve"</formula>
    </cfRule>
  </conditionalFormatting>
  <conditionalFormatting sqref="N85:N92">
    <cfRule type="cellIs" dxfId="119" priority="282" operator="equal">
      <formula>"Catastrófico"</formula>
    </cfRule>
    <cfRule type="cellIs" dxfId="118" priority="283" operator="equal">
      <formula>"Mayor"</formula>
    </cfRule>
    <cfRule type="cellIs" dxfId="117" priority="284" operator="equal">
      <formula>"Moderado"</formula>
    </cfRule>
    <cfRule type="cellIs" dxfId="116" priority="285" operator="equal">
      <formula>"Menor"</formula>
    </cfRule>
    <cfRule type="cellIs" dxfId="115" priority="286" operator="equal">
      <formula>"Leve"</formula>
    </cfRule>
  </conditionalFormatting>
  <conditionalFormatting sqref="N95:N100">
    <cfRule type="cellIs" dxfId="114" priority="198" operator="equal">
      <formula>"Catastrófico"</formula>
    </cfRule>
    <cfRule type="cellIs" dxfId="113" priority="199" operator="equal">
      <formula>"Mayor"</formula>
    </cfRule>
    <cfRule type="cellIs" dxfId="112" priority="200" operator="equal">
      <formula>"Moderado"</formula>
    </cfRule>
    <cfRule type="cellIs" dxfId="111" priority="201" operator="equal">
      <formula>"Menor"</formula>
    </cfRule>
    <cfRule type="cellIs" dxfId="110" priority="202" operator="equal">
      <formula>"Leve"</formula>
    </cfRule>
  </conditionalFormatting>
  <conditionalFormatting sqref="P13 AF13:AF19 AF49 AF51:AF101">
    <cfRule type="cellIs" dxfId="109" priority="1654" operator="equal">
      <formula>"Extremo"</formula>
    </cfRule>
    <cfRule type="cellIs" dxfId="108" priority="1655" operator="equal">
      <formula>"Alto"</formula>
    </cfRule>
    <cfRule type="cellIs" dxfId="107" priority="1656" operator="equal">
      <formula>"Moderado"</formula>
    </cfRule>
    <cfRule type="cellIs" dxfId="106" priority="1657" operator="equal">
      <formula>"Bajo"</formula>
    </cfRule>
  </conditionalFormatting>
  <conditionalFormatting sqref="P16:P19">
    <cfRule type="cellIs" dxfId="105" priority="1166" operator="equal">
      <formula>"Extremo"</formula>
    </cfRule>
    <cfRule type="cellIs" dxfId="104" priority="1167" operator="equal">
      <formula>"Alto"</formula>
    </cfRule>
    <cfRule type="cellIs" dxfId="103" priority="1168" operator="equal">
      <formula>"Moderado"</formula>
    </cfRule>
    <cfRule type="cellIs" dxfId="102" priority="1169" operator="equal">
      <formula>"Bajo"</formula>
    </cfRule>
  </conditionalFormatting>
  <conditionalFormatting sqref="P21:P24">
    <cfRule type="cellIs" dxfId="101" priority="1106" operator="equal">
      <formula>"Extremo"</formula>
    </cfRule>
    <cfRule type="cellIs" dxfId="100" priority="1107" operator="equal">
      <formula>"Alto"</formula>
    </cfRule>
    <cfRule type="cellIs" dxfId="99" priority="1108" operator="equal">
      <formula>"Moderado"</formula>
    </cfRule>
    <cfRule type="cellIs" dxfId="98" priority="1109" operator="equal">
      <formula>"Bajo"</formula>
    </cfRule>
  </conditionalFormatting>
  <conditionalFormatting sqref="P27">
    <cfRule type="cellIs" dxfId="97" priority="1091" operator="equal">
      <formula>"Extremo"</formula>
    </cfRule>
    <cfRule type="cellIs" dxfId="96" priority="1092" operator="equal">
      <formula>"Alto"</formula>
    </cfRule>
    <cfRule type="cellIs" dxfId="95" priority="1093" operator="equal">
      <formula>"Moderado"</formula>
    </cfRule>
    <cfRule type="cellIs" dxfId="94" priority="1094" operator="equal">
      <formula>"Bajo"</formula>
    </cfRule>
  </conditionalFormatting>
  <conditionalFormatting sqref="P30:P31">
    <cfRule type="cellIs" dxfId="93" priority="796" operator="equal">
      <formula>"Extremo"</formula>
    </cfRule>
    <cfRule type="cellIs" dxfId="92" priority="797" operator="equal">
      <formula>"Alto"</formula>
    </cfRule>
    <cfRule type="cellIs" dxfId="91" priority="798" operator="equal">
      <formula>"Moderado"</formula>
    </cfRule>
    <cfRule type="cellIs" dxfId="90" priority="799" operator="equal">
      <formula>"Bajo"</formula>
    </cfRule>
  </conditionalFormatting>
  <conditionalFormatting sqref="P33:P34">
    <cfRule type="cellIs" dxfId="89" priority="768" operator="equal">
      <formula>"Extremo"</formula>
    </cfRule>
    <cfRule type="cellIs" dxfId="88" priority="769" operator="equal">
      <formula>"Alto"</formula>
    </cfRule>
    <cfRule type="cellIs" dxfId="87" priority="770" operator="equal">
      <formula>"Moderado"</formula>
    </cfRule>
    <cfRule type="cellIs" dxfId="86" priority="771" operator="equal">
      <formula>"Bajo"</formula>
    </cfRule>
  </conditionalFormatting>
  <conditionalFormatting sqref="P37">
    <cfRule type="cellIs" dxfId="85" priority="754" operator="equal">
      <formula>"Extremo"</formula>
    </cfRule>
    <cfRule type="cellIs" dxfId="84" priority="755" operator="equal">
      <formula>"Alto"</formula>
    </cfRule>
    <cfRule type="cellIs" dxfId="83" priority="756" operator="equal">
      <formula>"Moderado"</formula>
    </cfRule>
    <cfRule type="cellIs" dxfId="82" priority="757" operator="equal">
      <formula>"Bajo"</formula>
    </cfRule>
  </conditionalFormatting>
  <conditionalFormatting sqref="P40">
    <cfRule type="cellIs" dxfId="81" priority="740" operator="equal">
      <formula>"Extremo"</formula>
    </cfRule>
    <cfRule type="cellIs" dxfId="80" priority="741" operator="equal">
      <formula>"Alto"</formula>
    </cfRule>
    <cfRule type="cellIs" dxfId="79" priority="742" operator="equal">
      <formula>"Moderado"</formula>
    </cfRule>
    <cfRule type="cellIs" dxfId="78" priority="743" operator="equal">
      <formula>"Bajo"</formula>
    </cfRule>
  </conditionalFormatting>
  <conditionalFormatting sqref="P43">
    <cfRule type="cellIs" dxfId="77" priority="726" operator="equal">
      <formula>"Extremo"</formula>
    </cfRule>
    <cfRule type="cellIs" dxfId="76" priority="727" operator="equal">
      <formula>"Alto"</formula>
    </cfRule>
    <cfRule type="cellIs" dxfId="75" priority="728" operator="equal">
      <formula>"Moderado"</formula>
    </cfRule>
    <cfRule type="cellIs" dxfId="74" priority="729" operator="equal">
      <formula>"Bajo"</formula>
    </cfRule>
  </conditionalFormatting>
  <conditionalFormatting sqref="P46:P47">
    <cfRule type="cellIs" dxfId="73" priority="698" operator="equal">
      <formula>"Extremo"</formula>
    </cfRule>
    <cfRule type="cellIs" dxfId="72" priority="699" operator="equal">
      <formula>"Alto"</formula>
    </cfRule>
    <cfRule type="cellIs" dxfId="71" priority="700" operator="equal">
      <formula>"Moderado"</formula>
    </cfRule>
    <cfRule type="cellIs" dxfId="70" priority="701" operator="equal">
      <formula>"Bajo"</formula>
    </cfRule>
  </conditionalFormatting>
  <conditionalFormatting sqref="P49">
    <cfRule type="cellIs" dxfId="69" priority="684" operator="equal">
      <formula>"Extremo"</formula>
    </cfRule>
    <cfRule type="cellIs" dxfId="68" priority="685" operator="equal">
      <formula>"Alto"</formula>
    </cfRule>
    <cfRule type="cellIs" dxfId="67" priority="686" operator="equal">
      <formula>"Moderado"</formula>
    </cfRule>
    <cfRule type="cellIs" dxfId="66" priority="687" operator="equal">
      <formula>"Bajo"</formula>
    </cfRule>
  </conditionalFormatting>
  <conditionalFormatting sqref="P51">
    <cfRule type="cellIs" dxfId="65" priority="670" operator="equal">
      <formula>"Extremo"</formula>
    </cfRule>
    <cfRule type="cellIs" dxfId="64" priority="671" operator="equal">
      <formula>"Alto"</formula>
    </cfRule>
    <cfRule type="cellIs" dxfId="63" priority="672" operator="equal">
      <formula>"Moderado"</formula>
    </cfRule>
    <cfRule type="cellIs" dxfId="62" priority="673" operator="equal">
      <formula>"Bajo"</formula>
    </cfRule>
  </conditionalFormatting>
  <conditionalFormatting sqref="P53:P54">
    <cfRule type="cellIs" dxfId="61" priority="642" operator="equal">
      <formula>"Extremo"</formula>
    </cfRule>
    <cfRule type="cellIs" dxfId="60" priority="643" operator="equal">
      <formula>"Alto"</formula>
    </cfRule>
    <cfRule type="cellIs" dxfId="59" priority="644" operator="equal">
      <formula>"Moderado"</formula>
    </cfRule>
    <cfRule type="cellIs" dxfId="58" priority="645" operator="equal">
      <formula>"Bajo"</formula>
    </cfRule>
  </conditionalFormatting>
  <conditionalFormatting sqref="P57">
    <cfRule type="cellIs" dxfId="57" priority="628" operator="equal">
      <formula>"Extremo"</formula>
    </cfRule>
    <cfRule type="cellIs" dxfId="56" priority="629" operator="equal">
      <formula>"Alto"</formula>
    </cfRule>
    <cfRule type="cellIs" dxfId="55" priority="630" operator="equal">
      <formula>"Moderado"</formula>
    </cfRule>
    <cfRule type="cellIs" dxfId="54" priority="631" operator="equal">
      <formula>"Bajo"</formula>
    </cfRule>
  </conditionalFormatting>
  <conditionalFormatting sqref="P60">
    <cfRule type="cellIs" dxfId="53" priority="614" operator="equal">
      <formula>"Extremo"</formula>
    </cfRule>
    <cfRule type="cellIs" dxfId="52" priority="615" operator="equal">
      <formula>"Alto"</formula>
    </cfRule>
    <cfRule type="cellIs" dxfId="51" priority="616" operator="equal">
      <formula>"Moderado"</formula>
    </cfRule>
    <cfRule type="cellIs" dxfId="50" priority="617" operator="equal">
      <formula>"Bajo"</formula>
    </cfRule>
  </conditionalFormatting>
  <conditionalFormatting sqref="P63">
    <cfRule type="cellIs" dxfId="49" priority="600" operator="equal">
      <formula>"Extremo"</formula>
    </cfRule>
    <cfRule type="cellIs" dxfId="48" priority="601" operator="equal">
      <formula>"Alto"</formula>
    </cfRule>
    <cfRule type="cellIs" dxfId="47" priority="602" operator="equal">
      <formula>"Moderado"</formula>
    </cfRule>
    <cfRule type="cellIs" dxfId="46" priority="603" operator="equal">
      <formula>"Bajo"</formula>
    </cfRule>
  </conditionalFormatting>
  <conditionalFormatting sqref="P65">
    <cfRule type="cellIs" dxfId="45" priority="586" operator="equal">
      <formula>"Extremo"</formula>
    </cfRule>
    <cfRule type="cellIs" dxfId="44" priority="587" operator="equal">
      <formula>"Alto"</formula>
    </cfRule>
    <cfRule type="cellIs" dxfId="43" priority="588" operator="equal">
      <formula>"Moderado"</formula>
    </cfRule>
    <cfRule type="cellIs" dxfId="42" priority="589" operator="equal">
      <formula>"Bajo"</formula>
    </cfRule>
  </conditionalFormatting>
  <conditionalFormatting sqref="P67">
    <cfRule type="cellIs" dxfId="41" priority="572" operator="equal">
      <formula>"Extremo"</formula>
    </cfRule>
    <cfRule type="cellIs" dxfId="40" priority="573" operator="equal">
      <formula>"Alto"</formula>
    </cfRule>
    <cfRule type="cellIs" dxfId="39" priority="574" operator="equal">
      <formula>"Moderado"</formula>
    </cfRule>
    <cfRule type="cellIs" dxfId="38" priority="575" operator="equal">
      <formula>"Bajo"</formula>
    </cfRule>
  </conditionalFormatting>
  <conditionalFormatting sqref="P69:P70">
    <cfRule type="cellIs" dxfId="37" priority="544" operator="equal">
      <formula>"Extremo"</formula>
    </cfRule>
    <cfRule type="cellIs" dxfId="36" priority="545" operator="equal">
      <formula>"Alto"</formula>
    </cfRule>
    <cfRule type="cellIs" dxfId="35" priority="546" operator="equal">
      <formula>"Moderado"</formula>
    </cfRule>
    <cfRule type="cellIs" dxfId="34" priority="547" operator="equal">
      <formula>"Bajo"</formula>
    </cfRule>
  </conditionalFormatting>
  <conditionalFormatting sqref="P72">
    <cfRule type="cellIs" dxfId="33" priority="530" operator="equal">
      <formula>"Extremo"</formula>
    </cfRule>
    <cfRule type="cellIs" dxfId="32" priority="531" operator="equal">
      <formula>"Alto"</formula>
    </cfRule>
    <cfRule type="cellIs" dxfId="31" priority="532" operator="equal">
      <formula>"Moderado"</formula>
    </cfRule>
    <cfRule type="cellIs" dxfId="30" priority="533" operator="equal">
      <formula>"Bajo"</formula>
    </cfRule>
  </conditionalFormatting>
  <conditionalFormatting sqref="P74:P83">
    <cfRule type="cellIs" dxfId="29" priority="390" operator="equal">
      <formula>"Extremo"</formula>
    </cfRule>
    <cfRule type="cellIs" dxfId="28" priority="391" operator="equal">
      <formula>"Alto"</formula>
    </cfRule>
    <cfRule type="cellIs" dxfId="27" priority="392" operator="equal">
      <formula>"Moderado"</formula>
    </cfRule>
    <cfRule type="cellIs" dxfId="26" priority="393" operator="equal">
      <formula>"Bajo"</formula>
    </cfRule>
  </conditionalFormatting>
  <conditionalFormatting sqref="P85:P92">
    <cfRule type="cellIs" dxfId="25" priority="278" operator="equal">
      <formula>"Extremo"</formula>
    </cfRule>
    <cfRule type="cellIs" dxfId="24" priority="279" operator="equal">
      <formula>"Alto"</formula>
    </cfRule>
    <cfRule type="cellIs" dxfId="23" priority="280" operator="equal">
      <formula>"Moderado"</formula>
    </cfRule>
    <cfRule type="cellIs" dxfId="22" priority="281" operator="equal">
      <formula>"Bajo"</formula>
    </cfRule>
  </conditionalFormatting>
  <conditionalFormatting sqref="P95:P100">
    <cfRule type="cellIs" dxfId="21" priority="194" operator="equal">
      <formula>"Extremo"</formula>
    </cfRule>
    <cfRule type="cellIs" dxfId="20" priority="195" operator="equal">
      <formula>"Alto"</formula>
    </cfRule>
    <cfRule type="cellIs" dxfId="19" priority="196" operator="equal">
      <formula>"Moderado"</formula>
    </cfRule>
    <cfRule type="cellIs" dxfId="18" priority="197" operator="equal">
      <formula>"Bajo"</formula>
    </cfRule>
  </conditionalFormatting>
  <conditionalFormatting sqref="AB21:AB31">
    <cfRule type="cellIs" dxfId="17" priority="17" operator="equal">
      <formula>"Muy Alta"</formula>
    </cfRule>
    <cfRule type="cellIs" dxfId="16" priority="18" operator="equal">
      <formula>"Alta"</formula>
    </cfRule>
    <cfRule type="cellIs" dxfId="15" priority="19" operator="equal">
      <formula>"Media"</formula>
    </cfRule>
    <cfRule type="cellIs" dxfId="14" priority="20" operator="equal">
      <formula>"Baja"</formula>
    </cfRule>
    <cfRule type="cellIs" dxfId="13" priority="21" operator="equal">
      <formula>"Muy Baja"</formula>
    </cfRule>
  </conditionalFormatting>
  <conditionalFormatting sqref="AD13:AD47">
    <cfRule type="cellIs" dxfId="12" priority="63" operator="equal">
      <formula>"Catastrófico"</formula>
    </cfRule>
    <cfRule type="cellIs" dxfId="11" priority="64" operator="equal">
      <formula>"Mayor"</formula>
    </cfRule>
    <cfRule type="cellIs" dxfId="10" priority="65" operator="equal">
      <formula>"Moderado"</formula>
    </cfRule>
    <cfRule type="cellIs" dxfId="9" priority="66" operator="equal">
      <formula>"Menor"</formula>
    </cfRule>
    <cfRule type="cellIs" dxfId="8" priority="67" operator="equal">
      <formula>"Leve"</formula>
    </cfRule>
  </conditionalFormatting>
  <conditionalFormatting sqref="AF21:AF31">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conditionalFormatting sqref="AF33:AF47">
    <cfRule type="cellIs" dxfId="3" priority="37" operator="equal">
      <formula>"Extremo"</formula>
    </cfRule>
    <cfRule type="cellIs" dxfId="2" priority="38" operator="equal">
      <formula>"Alto"</formula>
    </cfRule>
    <cfRule type="cellIs" dxfId="1" priority="39" operator="equal">
      <formula>"Moderado"</formula>
    </cfRule>
    <cfRule type="cellIs" dxfId="0" priority="40"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AM13:AM14 AM16:AM25 AM27:AM28 AM30:AM35 AM37:AM38 AM40:AM41 AM43:AM44 AM46:AM55 AM57:AM58 AM60:AM61 AM63:AM93 AM95:AM101</xm:sqref>
        </x14:dataValidation>
        <x14:dataValidation type="list" allowBlank="1" showInputMessage="1" showErrorMessage="1" xr:uid="{00000000-0002-0000-0100-000000000000}">
          <x14:formula1>
            <xm:f>'Tabla Valoración controles'!$D$4:$D$6</xm:f>
          </x14:formula1>
          <xm:sqref>U13:U47 U49 U51:U101</xm:sqref>
        </x14:dataValidation>
        <x14:dataValidation type="list" allowBlank="1" showInputMessage="1" showErrorMessage="1" xr:uid="{00000000-0002-0000-0100-000001000000}">
          <x14:formula1>
            <xm:f>'Tabla Valoración controles'!$D$7:$D$8</xm:f>
          </x14:formula1>
          <xm:sqref>V13:V47 V49 V51:V101</xm:sqref>
        </x14:dataValidation>
        <x14:dataValidation type="list" allowBlank="1" showInputMessage="1" showErrorMessage="1" xr:uid="{00000000-0002-0000-0100-000002000000}">
          <x14:formula1>
            <xm:f>'Tabla Valoración controles'!$D$9:$D$10</xm:f>
          </x14:formula1>
          <xm:sqref>X13:X47 X49 X51:X101</xm:sqref>
        </x14:dataValidation>
        <x14:dataValidation type="list" allowBlank="1" showInputMessage="1" showErrorMessage="1" xr:uid="{00000000-0002-0000-0100-000003000000}">
          <x14:formula1>
            <xm:f>'Tabla Valoración controles'!$D$11:$D$12</xm:f>
          </x14:formula1>
          <xm:sqref>Y13:Y47 Y49 Y51:Y101</xm:sqref>
        </x14:dataValidation>
        <x14:dataValidation type="list" allowBlank="1" showInputMessage="1" showErrorMessage="1" xr:uid="{00000000-0002-0000-0100-000005000000}">
          <x14:formula1>
            <xm:f>'Tabla Valoración controles'!$D$13:$D$14</xm:f>
          </x14:formula1>
          <xm:sqref>Z13:Z47 Z49 Z51:Z101</xm:sqref>
        </x14:dataValidation>
        <x14:dataValidation type="list" allowBlank="1" showInputMessage="1" showErrorMessage="1" xr:uid="{00000000-0002-0000-0100-000008000000}">
          <x14:formula1>
            <xm:f>'Opciones Tratamiento'!$B$2:$B$5</xm:f>
          </x14:formula1>
          <xm:sqref>AG13:AG47 AG49 AG51:AG101</xm:sqref>
        </x14:dataValidation>
        <x14:dataValidation type="custom" allowBlank="1" showInputMessage="1" showErrorMessage="1" error="Recuerde que las acciones se generan bajo la medida de mitigar el riesgo" xr:uid="{00000000-0002-0000-0100-00000A000000}">
          <x14:formula1>
            <xm:f>IF(OR(AG13='Opciones Tratamiento'!$B$2,AG13='Opciones Tratamiento'!$B$3,AG13='Opciones Tratamiento'!$B$4),ISBLANK(AG13),ISTEXT(AG13))</xm:f>
          </x14:formula1>
          <xm:sqref>AH13:AH52 AH54:AH59 AH61:AH64 AH69:AH101</xm:sqref>
        </x14:dataValidation>
        <x14:dataValidation type="custom" allowBlank="1" showInputMessage="1" showErrorMessage="1" error="Recuerde que las acciones se generan bajo la medida de mitigar el riesgo" xr:uid="{00000000-0002-0000-0100-00000B000000}">
          <x14:formula1>
            <xm:f>IF(OR(AG13='Opciones Tratamiento'!$B$2,AG13='Opciones Tratamiento'!$B$3,AG13='Opciones Tratamiento'!$B$4),ISBLANK(AG13),ISTEXT(AG13))</xm:f>
          </x14:formula1>
          <xm:sqref>AI69:AI101 AI54:AI59 AI61:AI64 AI13:AI52</xm:sqref>
        </x14:dataValidation>
        <x14:dataValidation type="custom" allowBlank="1" showInputMessage="1" showErrorMessage="1" error="Recuerde que las acciones se generan bajo la medida de mitigar el riesgo" xr:uid="{00000000-0002-0000-0100-00000C000000}">
          <x14:formula1>
            <xm:f>IF(OR(AG13='Opciones Tratamiento'!$B$2,AG13='Opciones Tratamiento'!$B$3,AG13='Opciones Tratamiento'!$B$4),ISBLANK(AG13),ISTEXT(AG13))</xm:f>
          </x14:formula1>
          <xm:sqref>AJ13:AJ52 AJ54:AJ59 AJ61:AJ64 AJ69:AJ101</xm:sqref>
        </x14:dataValidation>
        <x14:dataValidation type="custom" allowBlank="1" showInputMessage="1" showErrorMessage="1" error="Recuerde que las acciones se generan bajo la medida de mitigar el riesgo" xr:uid="{00000000-0002-0000-0100-00000D000000}">
          <x14:formula1>
            <xm:f>IF(OR(AG13='Opciones Tratamiento'!$B$2,AG13='Opciones Tratamiento'!$B$3,AG13='Opciones Tratamiento'!$B$4),ISBLANK(AG13),ISTEXT(AG13))</xm:f>
          </x14:formula1>
          <xm:sqref>AK69:AK101 AK54:AK59 AK61:AK64 AK13:AK52</xm:sqref>
        </x14:dataValidation>
        <x14:dataValidation type="custom" allowBlank="1" showInputMessage="1" showErrorMessage="1" error="Recuerde que las acciones se generan bajo la medida de mitigar el riesgo" xr:uid="{00000000-0002-0000-0100-00000E000000}">
          <x14:formula1>
            <xm:f>IF(OR(AG13='Opciones Tratamiento'!$B$2,AG13='Opciones Tratamiento'!$B$3,AG13='Opciones Tratamiento'!$B$4),ISBLANK(AG13),ISTEXT(AG13))</xm:f>
          </x14:formula1>
          <xm:sqref>AL61:AL101 AL54:AL59 AL13:AL52</xm:sqref>
        </x14:dataValidation>
        <x14:dataValidation type="list" allowBlank="1" showInputMessage="1" showErrorMessage="1" xr:uid="{00000000-0002-0000-0100-000006000000}">
          <x14:formula1>
            <xm:f>'Opciones Tratamiento'!$B$13:$B$19</xm:f>
          </x14:formula1>
          <xm:sqref>H13:H101</xm:sqref>
        </x14:dataValidation>
        <x14:dataValidation type="list" allowBlank="1" showInputMessage="1" showErrorMessage="1" xr:uid="{00000000-0002-0000-0100-000007000000}">
          <x14:formula1>
            <xm:f>'Opciones Tratamiento'!$E$2:$E$4</xm:f>
          </x14:formula1>
          <xm:sqref>D13:D101</xm:sqref>
        </x14:dataValidation>
        <x14:dataValidation type="list" allowBlank="1" showInputMessage="1" showErrorMessage="1" xr:uid="{00000000-0002-0000-0100-000009000000}">
          <x14:formula1>
            <xm:f>'Tabla Impacto'!$F$210:$F$221</xm:f>
          </x14:formula1>
          <xm:sqref>L13:L101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R63" sqref="R63"/>
    </sheetView>
  </sheetViews>
  <sheetFormatPr baseColWidth="10" defaultRowHeight="15" x14ac:dyDescent="0.25"/>
  <cols>
    <col min="2" max="39" width="5.7109375" customWidth="1"/>
    <col min="41" max="46" width="5.7109375" customWidth="1"/>
  </cols>
  <sheetData>
    <row r="1" spans="1:99" x14ac:dyDescent="0.2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row>
    <row r="2" spans="1:99" ht="18" customHeight="1" x14ac:dyDescent="0.25">
      <c r="A2" s="37"/>
      <c r="B2" s="409" t="s">
        <v>158</v>
      </c>
      <c r="C2" s="409"/>
      <c r="D2" s="409"/>
      <c r="E2" s="409"/>
      <c r="F2" s="409"/>
      <c r="G2" s="409"/>
      <c r="H2" s="409"/>
      <c r="I2" s="409"/>
      <c r="J2" s="450" t="s">
        <v>2</v>
      </c>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row>
    <row r="3" spans="1:99" ht="18.75" customHeight="1" x14ac:dyDescent="0.25">
      <c r="A3" s="37"/>
      <c r="B3" s="409"/>
      <c r="C3" s="409"/>
      <c r="D3" s="409"/>
      <c r="E3" s="409"/>
      <c r="F3" s="409"/>
      <c r="G3" s="409"/>
      <c r="H3" s="409"/>
      <c r="I3" s="409"/>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row>
    <row r="4" spans="1:99" ht="15" customHeight="1" x14ac:dyDescent="0.25">
      <c r="A4" s="37"/>
      <c r="B4" s="409"/>
      <c r="C4" s="409"/>
      <c r="D4" s="409"/>
      <c r="E4" s="409"/>
      <c r="F4" s="409"/>
      <c r="G4" s="409"/>
      <c r="H4" s="409"/>
      <c r="I4" s="409"/>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row>
    <row r="5" spans="1:99" ht="15.75" thickBot="1" x14ac:dyDescent="0.3">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row>
    <row r="6" spans="1:99" ht="15" customHeight="1" x14ac:dyDescent="0.25">
      <c r="A6" s="37"/>
      <c r="B6" s="463" t="s">
        <v>4</v>
      </c>
      <c r="C6" s="463"/>
      <c r="D6" s="464"/>
      <c r="E6" s="451" t="s">
        <v>116</v>
      </c>
      <c r="F6" s="452"/>
      <c r="G6" s="452"/>
      <c r="H6" s="452"/>
      <c r="I6" s="453"/>
      <c r="J6" s="447" t="str">
        <f>IF(AND('Mapa final'!$J$13="Muy Alta",'Mapa final'!$N$13="Leve"),CONCATENATE("R",'Mapa final'!$C$13),"")</f>
        <v/>
      </c>
      <c r="K6" s="448"/>
      <c r="L6" s="461" t="str">
        <f>IF(AND('Mapa final'!$J$16="Muy Alta",'Mapa final'!$N$16="Leve"),CONCATENATE("R",'Mapa final'!$C$16),"")</f>
        <v/>
      </c>
      <c r="M6" s="461"/>
      <c r="N6" s="448" t="str">
        <f>IF(AND('Mapa final'!$J$17="Muy Alta",'Mapa final'!$N$17="Leve"),CONCATENATE("R",'Mapa final'!$C$17),"")</f>
        <v/>
      </c>
      <c r="O6" s="449"/>
      <c r="P6" s="447" t="str">
        <f>IF(AND('Mapa final'!$J$13="Muy Alta",'Mapa final'!$N$13="Menor"),CONCATENATE("R",'Mapa final'!$C$13),"")</f>
        <v/>
      </c>
      <c r="Q6" s="448"/>
      <c r="R6" s="448" t="str">
        <f>IF(AND('Mapa final'!$J$16="Muy Alta",'Mapa final'!$N$16="Menor"),CONCATENATE("R",'Mapa final'!$C$16),"")</f>
        <v/>
      </c>
      <c r="S6" s="448"/>
      <c r="T6" s="448" t="str">
        <f>IF(AND('Mapa final'!$J$17="Muy Alta",'Mapa final'!$N$17="Menor"),CONCATENATE("R",'Mapa final'!$C$17),"")</f>
        <v/>
      </c>
      <c r="U6" s="449"/>
      <c r="V6" s="447" t="str">
        <f>IF(AND('Mapa final'!$J$13="Muy Alta",'Mapa final'!$N$13="Moderado"),CONCATENATE("R",'Mapa final'!$C$13),"")</f>
        <v/>
      </c>
      <c r="W6" s="448"/>
      <c r="X6" s="448" t="str">
        <f>IF(AND('Mapa final'!$J$16="Muy Alta",'Mapa final'!$N$16="Moderado"),CONCATENATE("R",'Mapa final'!$C$16),"")</f>
        <v/>
      </c>
      <c r="Y6" s="448"/>
      <c r="Z6" s="448" t="str">
        <f>IF(AND('Mapa final'!$J$17="Muy Alta",'Mapa final'!$N$17="Moderado"),CONCATENATE("R",'Mapa final'!$C$17),"")</f>
        <v/>
      </c>
      <c r="AA6" s="449"/>
      <c r="AB6" s="447" t="str">
        <f>IF(AND('Mapa final'!$J$13="Muy Alta",'Mapa final'!$N$13="Mayor"),CONCATENATE("R",'Mapa final'!$C$13),"")</f>
        <v/>
      </c>
      <c r="AC6" s="448"/>
      <c r="AD6" s="448" t="str">
        <f>IF(AND('Mapa final'!$J$16="Muy Alta",'Mapa final'!$N$16="Mayor"),CONCATENATE("R",'Mapa final'!$C$16),"")</f>
        <v/>
      </c>
      <c r="AE6" s="448"/>
      <c r="AF6" s="448" t="str">
        <f>IF(AND('Mapa final'!$J$17="Muy Alta",'Mapa final'!$N$17="Mayor"),CONCATENATE("R",'Mapa final'!$C$17),"")</f>
        <v/>
      </c>
      <c r="AG6" s="449"/>
      <c r="AH6" s="438" t="str">
        <f>IF(AND('Mapa final'!$J$13="Muy Alta",'Mapa final'!$N$13="Catastrófico"),CONCATENATE("R",'Mapa final'!$C$13),"")</f>
        <v/>
      </c>
      <c r="AI6" s="439"/>
      <c r="AJ6" s="439" t="str">
        <f>IF(AND('Mapa final'!$J$16="Muy Alta",'Mapa final'!$N$16="Catastrófico"),CONCATENATE("R",'Mapa final'!$C$16),"")</f>
        <v/>
      </c>
      <c r="AK6" s="439"/>
      <c r="AL6" s="439" t="str">
        <f>IF(AND('Mapa final'!$J$17="Muy Alta",'Mapa final'!$N$17="Catastrófico"),CONCATENATE("R",'Mapa final'!$C$17),"")</f>
        <v/>
      </c>
      <c r="AM6" s="440"/>
      <c r="AO6" s="465" t="s">
        <v>79</v>
      </c>
      <c r="AP6" s="466"/>
      <c r="AQ6" s="466"/>
      <c r="AR6" s="466"/>
      <c r="AS6" s="466"/>
      <c r="AT6" s="46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row>
    <row r="7" spans="1:99" ht="15" customHeight="1" x14ac:dyDescent="0.25">
      <c r="A7" s="37"/>
      <c r="B7" s="463"/>
      <c r="C7" s="463"/>
      <c r="D7" s="464"/>
      <c r="E7" s="454"/>
      <c r="F7" s="455"/>
      <c r="G7" s="455"/>
      <c r="H7" s="455"/>
      <c r="I7" s="456"/>
      <c r="J7" s="441"/>
      <c r="K7" s="442"/>
      <c r="L7" s="462"/>
      <c r="M7" s="462"/>
      <c r="N7" s="442"/>
      <c r="O7" s="443"/>
      <c r="P7" s="441"/>
      <c r="Q7" s="442"/>
      <c r="R7" s="442"/>
      <c r="S7" s="442"/>
      <c r="T7" s="442"/>
      <c r="U7" s="443"/>
      <c r="V7" s="441"/>
      <c r="W7" s="442"/>
      <c r="X7" s="442"/>
      <c r="Y7" s="442"/>
      <c r="Z7" s="442"/>
      <c r="AA7" s="443"/>
      <c r="AB7" s="441"/>
      <c r="AC7" s="442"/>
      <c r="AD7" s="442"/>
      <c r="AE7" s="442"/>
      <c r="AF7" s="442"/>
      <c r="AG7" s="443"/>
      <c r="AH7" s="432"/>
      <c r="AI7" s="433"/>
      <c r="AJ7" s="433"/>
      <c r="AK7" s="433"/>
      <c r="AL7" s="433"/>
      <c r="AM7" s="434"/>
      <c r="AN7" s="37"/>
      <c r="AO7" s="468"/>
      <c r="AP7" s="469"/>
      <c r="AQ7" s="469"/>
      <c r="AR7" s="469"/>
      <c r="AS7" s="469"/>
      <c r="AT7" s="470"/>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row>
    <row r="8" spans="1:99" ht="15" customHeight="1" x14ac:dyDescent="0.25">
      <c r="A8" s="37"/>
      <c r="B8" s="463"/>
      <c r="C8" s="463"/>
      <c r="D8" s="464"/>
      <c r="E8" s="454"/>
      <c r="F8" s="455"/>
      <c r="G8" s="455"/>
      <c r="H8" s="455"/>
      <c r="I8" s="456"/>
      <c r="J8" s="441" t="str">
        <f>IF(AND('Mapa final'!$J$18="Muy Alta",'Mapa final'!$N$18="Leve"),CONCATENATE("R",'Mapa final'!$C$18),"")</f>
        <v/>
      </c>
      <c r="K8" s="442"/>
      <c r="L8" s="442" t="str">
        <f>IF(AND('Mapa final'!$J$19="Muy Alta",'Mapa final'!$N$19="Leve"),CONCATENATE("R",'Mapa final'!$C$19),"")</f>
        <v/>
      </c>
      <c r="M8" s="442"/>
      <c r="N8" s="442" t="str">
        <f>IF(AND('Mapa final'!$J$21="Muy Alta",'Mapa final'!$N$21="Leve"),CONCATENATE("R",'Mapa final'!$C$21),"")</f>
        <v/>
      </c>
      <c r="O8" s="443"/>
      <c r="P8" s="441" t="str">
        <f>IF(AND('Mapa final'!$J$18="Muy Alta",'Mapa final'!$N$18="Menor"),CONCATENATE("R",'Mapa final'!$C$18),"")</f>
        <v/>
      </c>
      <c r="Q8" s="442"/>
      <c r="R8" s="442" t="str">
        <f>IF(AND('Mapa final'!$J$19="Muy Alta",'Mapa final'!$N$19="Menor"),CONCATENATE("R",'Mapa final'!$C$19),"")</f>
        <v/>
      </c>
      <c r="S8" s="442"/>
      <c r="T8" s="442" t="str">
        <f>IF(AND('Mapa final'!$J$21="Muy Alta",'Mapa final'!$N$21="Menor"),CONCATENATE("R",'Mapa final'!$C$21),"")</f>
        <v/>
      </c>
      <c r="U8" s="443"/>
      <c r="V8" s="441" t="str">
        <f>IF(AND('Mapa final'!$J$18="Muy Alta",'Mapa final'!$N$18="Moderado"),CONCATENATE("R",'Mapa final'!$C$18),"")</f>
        <v/>
      </c>
      <c r="W8" s="442"/>
      <c r="X8" s="442" t="str">
        <f>IF(AND('Mapa final'!$J$19="Muy Alta",'Mapa final'!$N$19="Moderado"),CONCATENATE("R",'Mapa final'!$C$19),"")</f>
        <v/>
      </c>
      <c r="Y8" s="442"/>
      <c r="Z8" s="442" t="str">
        <f>IF(AND('Mapa final'!$J$21="Muy Alta",'Mapa final'!$N$21="Moderado"),CONCATENATE("R",'Mapa final'!$C$21),"")</f>
        <v/>
      </c>
      <c r="AA8" s="443"/>
      <c r="AB8" s="441" t="str">
        <f>IF(AND('Mapa final'!$J$18="Muy Alta",'Mapa final'!$N$18="Mayor"),CONCATENATE("R",'Mapa final'!$C$18),"")</f>
        <v/>
      </c>
      <c r="AC8" s="442"/>
      <c r="AD8" s="442" t="str">
        <f>IF(AND('Mapa final'!$J$19="Muy Alta",'Mapa final'!$N$19="Mayor"),CONCATENATE("R",'Mapa final'!$C$19),"")</f>
        <v/>
      </c>
      <c r="AE8" s="442"/>
      <c r="AF8" s="442" t="str">
        <f>IF(AND('Mapa final'!$J$21="Muy Alta",'Mapa final'!$N$21="Mayor"),CONCATENATE("R",'Mapa final'!$C$21),"")</f>
        <v/>
      </c>
      <c r="AG8" s="443"/>
      <c r="AH8" s="432" t="str">
        <f>IF(AND('Mapa final'!$J$18="Muy Alta",'Mapa final'!$N$18="Catastrófico"),CONCATENATE("R",'Mapa final'!$C$18),"")</f>
        <v/>
      </c>
      <c r="AI8" s="433"/>
      <c r="AJ8" s="433" t="str">
        <f>IF(AND('Mapa final'!$J$19="Muy Alta",'Mapa final'!$N$19="Catastrófico"),CONCATENATE("R",'Mapa final'!$C$19),"")</f>
        <v/>
      </c>
      <c r="AK8" s="433"/>
      <c r="AL8" s="433" t="str">
        <f>IF(AND('Mapa final'!$J$21="Muy Alta",'Mapa final'!$N$21="Catastrófico"),CONCATENATE("R",'Mapa final'!$C$21),"")</f>
        <v/>
      </c>
      <c r="AM8" s="434"/>
      <c r="AN8" s="37"/>
      <c r="AO8" s="468"/>
      <c r="AP8" s="469"/>
      <c r="AQ8" s="469"/>
      <c r="AR8" s="469"/>
      <c r="AS8" s="469"/>
      <c r="AT8" s="470"/>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row>
    <row r="9" spans="1:99" ht="15" customHeight="1" x14ac:dyDescent="0.25">
      <c r="A9" s="37"/>
      <c r="B9" s="463"/>
      <c r="C9" s="463"/>
      <c r="D9" s="464"/>
      <c r="E9" s="454"/>
      <c r="F9" s="455"/>
      <c r="G9" s="455"/>
      <c r="H9" s="455"/>
      <c r="I9" s="456"/>
      <c r="J9" s="441"/>
      <c r="K9" s="442"/>
      <c r="L9" s="442"/>
      <c r="M9" s="442"/>
      <c r="N9" s="442"/>
      <c r="O9" s="443"/>
      <c r="P9" s="441"/>
      <c r="Q9" s="442"/>
      <c r="R9" s="442"/>
      <c r="S9" s="442"/>
      <c r="T9" s="442"/>
      <c r="U9" s="443"/>
      <c r="V9" s="441"/>
      <c r="W9" s="442"/>
      <c r="X9" s="442"/>
      <c r="Y9" s="442"/>
      <c r="Z9" s="442"/>
      <c r="AA9" s="443"/>
      <c r="AB9" s="441"/>
      <c r="AC9" s="442"/>
      <c r="AD9" s="442"/>
      <c r="AE9" s="442"/>
      <c r="AF9" s="442"/>
      <c r="AG9" s="443"/>
      <c r="AH9" s="432"/>
      <c r="AI9" s="433"/>
      <c r="AJ9" s="433"/>
      <c r="AK9" s="433"/>
      <c r="AL9" s="433"/>
      <c r="AM9" s="434"/>
      <c r="AN9" s="37"/>
      <c r="AO9" s="468"/>
      <c r="AP9" s="469"/>
      <c r="AQ9" s="469"/>
      <c r="AR9" s="469"/>
      <c r="AS9" s="469"/>
      <c r="AT9" s="470"/>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row>
    <row r="10" spans="1:99" ht="15" customHeight="1" x14ac:dyDescent="0.25">
      <c r="A10" s="37"/>
      <c r="B10" s="463"/>
      <c r="C10" s="463"/>
      <c r="D10" s="464"/>
      <c r="E10" s="454"/>
      <c r="F10" s="455"/>
      <c r="G10" s="455"/>
      <c r="H10" s="455"/>
      <c r="I10" s="456"/>
      <c r="J10" s="441" t="str">
        <f>IF(AND('Mapa final'!$J$22="Muy Alta",'Mapa final'!$N$22="Leve"),CONCATENATE("R",'Mapa final'!$C$22),"")</f>
        <v/>
      </c>
      <c r="K10" s="442"/>
      <c r="L10" s="442" t="str">
        <f>IF(AND('Mapa final'!$J$23="Muy Alta",'Mapa final'!$N$23="Leve"),CONCATENATE("R",'Mapa final'!$C$23),"")</f>
        <v/>
      </c>
      <c r="M10" s="442"/>
      <c r="N10" s="442" t="str">
        <f>IF(AND('Mapa final'!$J$24="Muy Alta",'Mapa final'!$N$24="Leve"),CONCATENATE("R",'Mapa final'!$C$24),"")</f>
        <v/>
      </c>
      <c r="O10" s="443"/>
      <c r="P10" s="441" t="str">
        <f>IF(AND('Mapa final'!$J$22="Muy Alta",'Mapa final'!$N$22="Menor"),CONCATENATE("R",'Mapa final'!$C$22),"")</f>
        <v/>
      </c>
      <c r="Q10" s="442"/>
      <c r="R10" s="442" t="str">
        <f>IF(AND('Mapa final'!$J$23="Muy Alta",'Mapa final'!$N$23="Menor"),CONCATENATE("R",'Mapa final'!$C$23),"")</f>
        <v/>
      </c>
      <c r="S10" s="442"/>
      <c r="T10" s="442" t="str">
        <f>IF(AND('Mapa final'!$J$24="Muy Alta",'Mapa final'!$N$24="Menor"),CONCATENATE("R",'Mapa final'!$C$24),"")</f>
        <v/>
      </c>
      <c r="U10" s="443"/>
      <c r="V10" s="441" t="str">
        <f>IF(AND('Mapa final'!$J$22="Muy Alta",'Mapa final'!$N$22="Moderado"),CONCATENATE("R",'Mapa final'!$C$22),"")</f>
        <v/>
      </c>
      <c r="W10" s="442"/>
      <c r="X10" s="442" t="str">
        <f>IF(AND('Mapa final'!$J$23="Muy Alta",'Mapa final'!$N$23="Moderado"),CONCATENATE("R",'Mapa final'!$C$23),"")</f>
        <v/>
      </c>
      <c r="Y10" s="442"/>
      <c r="Z10" s="442" t="str">
        <f>IF(AND('Mapa final'!$J$24="Muy Alta",'Mapa final'!$N$24="Moderado"),CONCATENATE("R",'Mapa final'!$C$24),"")</f>
        <v/>
      </c>
      <c r="AA10" s="443"/>
      <c r="AB10" s="441" t="str">
        <f>IF(AND('Mapa final'!$J$22="Muy Alta",'Mapa final'!$N$22="Mayor"),CONCATENATE("R",'Mapa final'!$C$22),"")</f>
        <v/>
      </c>
      <c r="AC10" s="442"/>
      <c r="AD10" s="442" t="str">
        <f>IF(AND('Mapa final'!$J$23="Muy Alta",'Mapa final'!$N$23="Mayor"),CONCATENATE("R",'Mapa final'!$C$23),"")</f>
        <v/>
      </c>
      <c r="AE10" s="442"/>
      <c r="AF10" s="442" t="str">
        <f>IF(AND('Mapa final'!$J$24="Muy Alta",'Mapa final'!$N$24="Mayor"),CONCATENATE("R",'Mapa final'!$C$24),"")</f>
        <v/>
      </c>
      <c r="AG10" s="443"/>
      <c r="AH10" s="432" t="str">
        <f>IF(AND('Mapa final'!$J$22="Muy Alta",'Mapa final'!$N$22="Catastrófico"),CONCATENATE("R",'Mapa final'!$C$22),"")</f>
        <v/>
      </c>
      <c r="AI10" s="433"/>
      <c r="AJ10" s="433" t="str">
        <f>IF(AND('Mapa final'!$J$23="Muy Alta",'Mapa final'!$N$23="Catastrófico"),CONCATENATE("R",'Mapa final'!$C$23),"")</f>
        <v/>
      </c>
      <c r="AK10" s="433"/>
      <c r="AL10" s="433" t="str">
        <f>IF(AND('Mapa final'!$J$24="Muy Alta",'Mapa final'!$N$24="Catastrófico"),CONCATENATE("R",'Mapa final'!$C$24),"")</f>
        <v/>
      </c>
      <c r="AM10" s="434"/>
      <c r="AN10" s="37"/>
      <c r="AO10" s="468"/>
      <c r="AP10" s="469"/>
      <c r="AQ10" s="469"/>
      <c r="AR10" s="469"/>
      <c r="AS10" s="469"/>
      <c r="AT10" s="470"/>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row>
    <row r="11" spans="1:99" ht="15" customHeight="1" x14ac:dyDescent="0.25">
      <c r="A11" s="37"/>
      <c r="B11" s="463"/>
      <c r="C11" s="463"/>
      <c r="D11" s="464"/>
      <c r="E11" s="454"/>
      <c r="F11" s="455"/>
      <c r="G11" s="455"/>
      <c r="H11" s="455"/>
      <c r="I11" s="456"/>
      <c r="J11" s="441"/>
      <c r="K11" s="442"/>
      <c r="L11" s="442"/>
      <c r="M11" s="442"/>
      <c r="N11" s="442"/>
      <c r="O11" s="443"/>
      <c r="P11" s="441"/>
      <c r="Q11" s="442"/>
      <c r="R11" s="442"/>
      <c r="S11" s="442"/>
      <c r="T11" s="442"/>
      <c r="U11" s="443"/>
      <c r="V11" s="441"/>
      <c r="W11" s="442"/>
      <c r="X11" s="442"/>
      <c r="Y11" s="442"/>
      <c r="Z11" s="442"/>
      <c r="AA11" s="443"/>
      <c r="AB11" s="441"/>
      <c r="AC11" s="442"/>
      <c r="AD11" s="442"/>
      <c r="AE11" s="442"/>
      <c r="AF11" s="442"/>
      <c r="AG11" s="443"/>
      <c r="AH11" s="432"/>
      <c r="AI11" s="433"/>
      <c r="AJ11" s="433"/>
      <c r="AK11" s="433"/>
      <c r="AL11" s="433"/>
      <c r="AM11" s="434"/>
      <c r="AN11" s="37"/>
      <c r="AO11" s="468"/>
      <c r="AP11" s="469"/>
      <c r="AQ11" s="469"/>
      <c r="AR11" s="469"/>
      <c r="AS11" s="469"/>
      <c r="AT11" s="470"/>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row>
    <row r="12" spans="1:99" ht="15" customHeight="1" x14ac:dyDescent="0.25">
      <c r="A12" s="37"/>
      <c r="B12" s="463"/>
      <c r="C12" s="463"/>
      <c r="D12" s="464"/>
      <c r="E12" s="454"/>
      <c r="F12" s="455"/>
      <c r="G12" s="455"/>
      <c r="H12" s="455"/>
      <c r="I12" s="456"/>
      <c r="J12" s="441" t="str">
        <f>IF(AND('Mapa final'!$J$27="Muy Alta",'Mapa final'!$N$27="Leve"),CONCATENATE("R",'Mapa final'!$C$27),"")</f>
        <v/>
      </c>
      <c r="K12" s="442"/>
      <c r="L12" s="442" t="e">
        <f>IF(AND('Mapa final'!#REF!="Muy Alta",'Mapa final'!#REF!="Leve"),CONCATENATE("R",'Mapa final'!#REF!),"")</f>
        <v>#REF!</v>
      </c>
      <c r="M12" s="442"/>
      <c r="N12" s="442" t="e">
        <f>IF(AND('Mapa final'!#REF!="Muy Alta",'Mapa final'!#REF!="Leve"),CONCATENATE("R",'Mapa final'!#REF!),"")</f>
        <v>#REF!</v>
      </c>
      <c r="O12" s="443"/>
      <c r="P12" s="441" t="str">
        <f>IF(AND('Mapa final'!$J$27="Muy Alta",'Mapa final'!$N$27="Menor"),CONCATENATE("R",'Mapa final'!$C$27),"")</f>
        <v/>
      </c>
      <c r="Q12" s="442"/>
      <c r="R12" s="442" t="e">
        <f>IF(AND('Mapa final'!#REF!="Muy Alta",'Mapa final'!#REF!="Menor"),CONCATENATE("R",'Mapa final'!#REF!),"")</f>
        <v>#REF!</v>
      </c>
      <c r="S12" s="442"/>
      <c r="T12" s="442" t="e">
        <f>IF(AND('Mapa final'!#REF!="Muy Alta",'Mapa final'!#REF!="Menor"),CONCATENATE("R",'Mapa final'!#REF!),"")</f>
        <v>#REF!</v>
      </c>
      <c r="U12" s="443"/>
      <c r="V12" s="441" t="str">
        <f>IF(AND('Mapa final'!$J$27="Muy Alta",'Mapa final'!$N$27="Moderado"),CONCATENATE("R",'Mapa final'!$C$27),"")</f>
        <v/>
      </c>
      <c r="W12" s="442"/>
      <c r="X12" s="442" t="e">
        <f>IF(AND('Mapa final'!#REF!="Muy Alta",'Mapa final'!#REF!="Moderado"),CONCATENATE("R",'Mapa final'!#REF!),"")</f>
        <v>#REF!</v>
      </c>
      <c r="Y12" s="442"/>
      <c r="Z12" s="442" t="e">
        <f>IF(AND('Mapa final'!#REF!="Muy Alta",'Mapa final'!#REF!="Moderado"),CONCATENATE("R",'Mapa final'!#REF!),"")</f>
        <v>#REF!</v>
      </c>
      <c r="AA12" s="443"/>
      <c r="AB12" s="441" t="str">
        <f>IF(AND('Mapa final'!$J$27="Muy Alta",'Mapa final'!$N$27="Mayor"),CONCATENATE("R",'Mapa final'!$C$27),"")</f>
        <v/>
      </c>
      <c r="AC12" s="442"/>
      <c r="AD12" s="442" t="e">
        <f>IF(AND('Mapa final'!#REF!="Muy Alta",'Mapa final'!#REF!="Mayor"),CONCATENATE("R",'Mapa final'!#REF!),"")</f>
        <v>#REF!</v>
      </c>
      <c r="AE12" s="442"/>
      <c r="AF12" s="442" t="e">
        <f>IF(AND('Mapa final'!#REF!="Muy Alta",'Mapa final'!#REF!="Mayor"),CONCATENATE("R",'Mapa final'!#REF!),"")</f>
        <v>#REF!</v>
      </c>
      <c r="AG12" s="443"/>
      <c r="AH12" s="432" t="str">
        <f>IF(AND('Mapa final'!$J$27="Muy Alta",'Mapa final'!$N$27="Catastrófico"),CONCATENATE("R",'Mapa final'!$C$27),"")</f>
        <v/>
      </c>
      <c r="AI12" s="433"/>
      <c r="AJ12" s="433" t="e">
        <f>IF(AND('Mapa final'!#REF!="Muy Alta",'Mapa final'!#REF!="Catastrófico"),CONCATENATE("R",'Mapa final'!#REF!),"")</f>
        <v>#REF!</v>
      </c>
      <c r="AK12" s="433"/>
      <c r="AL12" s="433" t="e">
        <f>IF(AND('Mapa final'!#REF!="Muy Alta",'Mapa final'!#REF!="Catastrófico"),CONCATENATE("R",'Mapa final'!#REF!),"")</f>
        <v>#REF!</v>
      </c>
      <c r="AM12" s="434"/>
      <c r="AN12" s="37"/>
      <c r="AO12" s="468"/>
      <c r="AP12" s="469"/>
      <c r="AQ12" s="469"/>
      <c r="AR12" s="469"/>
      <c r="AS12" s="469"/>
      <c r="AT12" s="470"/>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row>
    <row r="13" spans="1:99" ht="15.75" customHeight="1" thickBot="1" x14ac:dyDescent="0.3">
      <c r="A13" s="37"/>
      <c r="B13" s="463"/>
      <c r="C13" s="463"/>
      <c r="D13" s="464"/>
      <c r="E13" s="457"/>
      <c r="F13" s="458"/>
      <c r="G13" s="458"/>
      <c r="H13" s="458"/>
      <c r="I13" s="459"/>
      <c r="J13" s="441"/>
      <c r="K13" s="442"/>
      <c r="L13" s="442"/>
      <c r="M13" s="442"/>
      <c r="N13" s="442"/>
      <c r="O13" s="443"/>
      <c r="P13" s="441"/>
      <c r="Q13" s="442"/>
      <c r="R13" s="442"/>
      <c r="S13" s="442"/>
      <c r="T13" s="442"/>
      <c r="U13" s="443"/>
      <c r="V13" s="441"/>
      <c r="W13" s="442"/>
      <c r="X13" s="442"/>
      <c r="Y13" s="442"/>
      <c r="Z13" s="442"/>
      <c r="AA13" s="443"/>
      <c r="AB13" s="441"/>
      <c r="AC13" s="442"/>
      <c r="AD13" s="442"/>
      <c r="AE13" s="442"/>
      <c r="AF13" s="442"/>
      <c r="AG13" s="443"/>
      <c r="AH13" s="435"/>
      <c r="AI13" s="436"/>
      <c r="AJ13" s="436"/>
      <c r="AK13" s="436"/>
      <c r="AL13" s="436"/>
      <c r="AM13" s="437"/>
      <c r="AN13" s="37"/>
      <c r="AO13" s="471"/>
      <c r="AP13" s="472"/>
      <c r="AQ13" s="472"/>
      <c r="AR13" s="472"/>
      <c r="AS13" s="472"/>
      <c r="AT13" s="473"/>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row>
    <row r="14" spans="1:99" ht="15" customHeight="1" x14ac:dyDescent="0.25">
      <c r="A14" s="37"/>
      <c r="B14" s="463"/>
      <c r="C14" s="463"/>
      <c r="D14" s="464"/>
      <c r="E14" s="451" t="s">
        <v>115</v>
      </c>
      <c r="F14" s="452"/>
      <c r="G14" s="452"/>
      <c r="H14" s="452"/>
      <c r="I14" s="452"/>
      <c r="J14" s="428" t="str">
        <f>IF(AND('Mapa final'!$J$13="Alta",'Mapa final'!$N$13="Leve"),CONCATENATE("R",'Mapa final'!$C$13),"")</f>
        <v/>
      </c>
      <c r="K14" s="429"/>
      <c r="L14" s="426" t="str">
        <f>IF(AND('Mapa final'!$J$16="Alta",'Mapa final'!$N$16="Leve"),CONCATENATE("R",'Mapa final'!$C$16),"")</f>
        <v/>
      </c>
      <c r="M14" s="426"/>
      <c r="N14" s="426" t="str">
        <f>IF(AND('Mapa final'!$J$17="Alta",'Mapa final'!$N$17="Leve"),CONCATENATE("R",'Mapa final'!$C$17),"")</f>
        <v/>
      </c>
      <c r="O14" s="427"/>
      <c r="P14" s="425" t="str">
        <f>IF(AND('Mapa final'!$J$13="Alta",'Mapa final'!$N$13="Menor"),CONCATENATE("R",'Mapa final'!$C$13),"")</f>
        <v/>
      </c>
      <c r="Q14" s="426"/>
      <c r="R14" s="426" t="str">
        <f>IF(AND('Mapa final'!$J$16="Alta",'Mapa final'!$N$16="Menor"),CONCATENATE("R",'Mapa final'!$C$16),"")</f>
        <v/>
      </c>
      <c r="S14" s="426"/>
      <c r="T14" s="426" t="str">
        <f>IF(AND('Mapa final'!$J$17="Alta",'Mapa final'!$N$17="Menor"),CONCATENATE("R",'Mapa final'!$C$17),"")</f>
        <v/>
      </c>
      <c r="U14" s="427"/>
      <c r="V14" s="447" t="str">
        <f>IF(AND('Mapa final'!$J$13="Alta",'Mapa final'!$N$13="Moderado"),CONCATENATE("R",'Mapa final'!$C$13),"")</f>
        <v/>
      </c>
      <c r="W14" s="448"/>
      <c r="X14" s="448" t="str">
        <f>IF(AND('Mapa final'!$J$16="Alta",'Mapa final'!$N$16="Moderado"),CONCATENATE("R",'Mapa final'!$C$16),"")</f>
        <v/>
      </c>
      <c r="Y14" s="448"/>
      <c r="Z14" s="448" t="str">
        <f>IF(AND('Mapa final'!$J$17="Alta",'Mapa final'!$N$17="Moderado"),CONCATENATE("R",'Mapa final'!$C$17),"")</f>
        <v/>
      </c>
      <c r="AA14" s="449"/>
      <c r="AB14" s="447" t="str">
        <f>IF(AND('Mapa final'!$J$13="Alta",'Mapa final'!$N$13="Mayor"),CONCATENATE("R",'Mapa final'!$C$13),"")</f>
        <v/>
      </c>
      <c r="AC14" s="448"/>
      <c r="AD14" s="448" t="str">
        <f>IF(AND('Mapa final'!$J$16="Alta",'Mapa final'!$N$16="Mayor"),CONCATENATE("R",'Mapa final'!$C$16),"")</f>
        <v/>
      </c>
      <c r="AE14" s="448"/>
      <c r="AF14" s="448" t="str">
        <f>IF(AND('Mapa final'!$J$17="Alta",'Mapa final'!$N$17="Mayor"),CONCATENATE("R",'Mapa final'!$C$17),"")</f>
        <v/>
      </c>
      <c r="AG14" s="449"/>
      <c r="AH14" s="438" t="str">
        <f>IF(AND('Mapa final'!$J$13="Alta",'Mapa final'!$N$13="Catastrófico"),CONCATENATE("R",'Mapa final'!$C$13),"")</f>
        <v/>
      </c>
      <c r="AI14" s="439"/>
      <c r="AJ14" s="439" t="str">
        <f>IF(AND('Mapa final'!$J$16="Alta",'Mapa final'!$N$16="Catastrófico"),CONCATENATE("R",'Mapa final'!$C$16),"")</f>
        <v/>
      </c>
      <c r="AK14" s="439"/>
      <c r="AL14" s="439" t="str">
        <f>IF(AND('Mapa final'!$J$17="Alta",'Mapa final'!$N$17="Catastrófico"),CONCATENATE("R",'Mapa final'!$C$17),"")</f>
        <v/>
      </c>
      <c r="AM14" s="440"/>
      <c r="AN14" s="37"/>
      <c r="AO14" s="474" t="s">
        <v>80</v>
      </c>
      <c r="AP14" s="475"/>
      <c r="AQ14" s="475"/>
      <c r="AR14" s="475"/>
      <c r="AS14" s="475"/>
      <c r="AT14" s="476"/>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row>
    <row r="15" spans="1:99" ht="15" customHeight="1" x14ac:dyDescent="0.25">
      <c r="A15" s="37"/>
      <c r="B15" s="463"/>
      <c r="C15" s="463"/>
      <c r="D15" s="464"/>
      <c r="E15" s="454"/>
      <c r="F15" s="455"/>
      <c r="G15" s="455"/>
      <c r="H15" s="455"/>
      <c r="I15" s="455"/>
      <c r="J15" s="430"/>
      <c r="K15" s="431"/>
      <c r="L15" s="420"/>
      <c r="M15" s="420"/>
      <c r="N15" s="420"/>
      <c r="O15" s="421"/>
      <c r="P15" s="419"/>
      <c r="Q15" s="420"/>
      <c r="R15" s="420"/>
      <c r="S15" s="420"/>
      <c r="T15" s="420"/>
      <c r="U15" s="421"/>
      <c r="V15" s="441"/>
      <c r="W15" s="442"/>
      <c r="X15" s="442"/>
      <c r="Y15" s="442"/>
      <c r="Z15" s="442"/>
      <c r="AA15" s="443"/>
      <c r="AB15" s="441"/>
      <c r="AC15" s="442"/>
      <c r="AD15" s="442"/>
      <c r="AE15" s="442"/>
      <c r="AF15" s="442"/>
      <c r="AG15" s="443"/>
      <c r="AH15" s="432"/>
      <c r="AI15" s="433"/>
      <c r="AJ15" s="433"/>
      <c r="AK15" s="433"/>
      <c r="AL15" s="433"/>
      <c r="AM15" s="434"/>
      <c r="AN15" s="37"/>
      <c r="AO15" s="477"/>
      <c r="AP15" s="478"/>
      <c r="AQ15" s="478"/>
      <c r="AR15" s="478"/>
      <c r="AS15" s="478"/>
      <c r="AT15" s="479"/>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row>
    <row r="16" spans="1:99" ht="15" customHeight="1" x14ac:dyDescent="0.25">
      <c r="A16" s="37"/>
      <c r="B16" s="463"/>
      <c r="C16" s="463"/>
      <c r="D16" s="464"/>
      <c r="E16" s="454"/>
      <c r="F16" s="455"/>
      <c r="G16" s="455"/>
      <c r="H16" s="455"/>
      <c r="I16" s="455"/>
      <c r="J16" s="419" t="str">
        <f>IF(AND('Mapa final'!$J$18="Alta",'Mapa final'!$N$18="Leve"),CONCATENATE("R",'Mapa final'!$C$18),"")</f>
        <v/>
      </c>
      <c r="K16" s="420"/>
      <c r="L16" s="420" t="str">
        <f>IF(AND('Mapa final'!$J$19="Alta",'Mapa final'!$N$19="Leve"),CONCATENATE("R",'Mapa final'!$C$19),"")</f>
        <v/>
      </c>
      <c r="M16" s="420"/>
      <c r="N16" s="420" t="str">
        <f>IF(AND('Mapa final'!$J$21="Alta",'Mapa final'!$N$21="Leve"),CONCATENATE("R",'Mapa final'!$C$21),"")</f>
        <v/>
      </c>
      <c r="O16" s="421"/>
      <c r="P16" s="419" t="str">
        <f>IF(AND('Mapa final'!$J$18="Alta",'Mapa final'!$N$18="Menor"),CONCATENATE("R",'Mapa final'!$C$18),"")</f>
        <v/>
      </c>
      <c r="Q16" s="420"/>
      <c r="R16" s="420" t="str">
        <f>IF(AND('Mapa final'!$J$19="Alta",'Mapa final'!$N$19="Menor"),CONCATENATE("R",'Mapa final'!$C$19),"")</f>
        <v/>
      </c>
      <c r="S16" s="420"/>
      <c r="T16" s="420" t="str">
        <f>IF(AND('Mapa final'!$J$21="Alta",'Mapa final'!$N$21="Menor"),CONCATENATE("R",'Mapa final'!$C$21),"")</f>
        <v/>
      </c>
      <c r="U16" s="421"/>
      <c r="V16" s="441" t="str">
        <f>IF(AND('Mapa final'!$J$18="Alta",'Mapa final'!$N$18="Moderado"),CONCATENATE("R",'Mapa final'!$C$18),"")</f>
        <v/>
      </c>
      <c r="W16" s="442"/>
      <c r="X16" s="442" t="str">
        <f>IF(AND('Mapa final'!$J$19="Alta",'Mapa final'!$N$19="Moderado"),CONCATENATE("R",'Mapa final'!$C$19),"")</f>
        <v/>
      </c>
      <c r="Y16" s="442"/>
      <c r="Z16" s="442" t="str">
        <f>IF(AND('Mapa final'!$J$21="Alta",'Mapa final'!$N$21="Moderado"),CONCATENATE("R",'Mapa final'!$C$21),"")</f>
        <v/>
      </c>
      <c r="AA16" s="443"/>
      <c r="AB16" s="441" t="str">
        <f>IF(AND('Mapa final'!$J$18="Alta",'Mapa final'!$N$18="Mayor"),CONCATENATE("R",'Mapa final'!$C$18),"")</f>
        <v/>
      </c>
      <c r="AC16" s="442"/>
      <c r="AD16" s="442" t="str">
        <f>IF(AND('Mapa final'!$J$19="Alta",'Mapa final'!$N$19="Mayor"),CONCATENATE("R",'Mapa final'!$C$19),"")</f>
        <v/>
      </c>
      <c r="AE16" s="442"/>
      <c r="AF16" s="442" t="str">
        <f>IF(AND('Mapa final'!$J$21="Alta",'Mapa final'!$N$21="Mayor"),CONCATENATE("R",'Mapa final'!$C$21),"")</f>
        <v/>
      </c>
      <c r="AG16" s="443"/>
      <c r="AH16" s="432" t="str">
        <f>IF(AND('Mapa final'!$J$18="Alta",'Mapa final'!$N$18="Catastrófico"),CONCATENATE("R",'Mapa final'!$C$18),"")</f>
        <v/>
      </c>
      <c r="AI16" s="433"/>
      <c r="AJ16" s="433" t="str">
        <f>IF(AND('Mapa final'!$J$19="Alta",'Mapa final'!$N$19="Catastrófico"),CONCATENATE("R",'Mapa final'!$C$19),"")</f>
        <v/>
      </c>
      <c r="AK16" s="433"/>
      <c r="AL16" s="433" t="str">
        <f>IF(AND('Mapa final'!$J$21="Alta",'Mapa final'!$N$21="Catastrófico"),CONCATENATE("R",'Mapa final'!$C$21),"")</f>
        <v/>
      </c>
      <c r="AM16" s="434"/>
      <c r="AN16" s="37"/>
      <c r="AO16" s="477"/>
      <c r="AP16" s="478"/>
      <c r="AQ16" s="478"/>
      <c r="AR16" s="478"/>
      <c r="AS16" s="478"/>
      <c r="AT16" s="479"/>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row>
    <row r="17" spans="1:80" ht="15" customHeight="1" x14ac:dyDescent="0.25">
      <c r="A17" s="37"/>
      <c r="B17" s="463"/>
      <c r="C17" s="463"/>
      <c r="D17" s="464"/>
      <c r="E17" s="454"/>
      <c r="F17" s="455"/>
      <c r="G17" s="455"/>
      <c r="H17" s="455"/>
      <c r="I17" s="455"/>
      <c r="J17" s="419"/>
      <c r="K17" s="420"/>
      <c r="L17" s="420"/>
      <c r="M17" s="420"/>
      <c r="N17" s="420"/>
      <c r="O17" s="421"/>
      <c r="P17" s="419"/>
      <c r="Q17" s="420"/>
      <c r="R17" s="420"/>
      <c r="S17" s="420"/>
      <c r="T17" s="420"/>
      <c r="U17" s="421"/>
      <c r="V17" s="441"/>
      <c r="W17" s="442"/>
      <c r="X17" s="442"/>
      <c r="Y17" s="442"/>
      <c r="Z17" s="442"/>
      <c r="AA17" s="443"/>
      <c r="AB17" s="441"/>
      <c r="AC17" s="442"/>
      <c r="AD17" s="442"/>
      <c r="AE17" s="442"/>
      <c r="AF17" s="442"/>
      <c r="AG17" s="443"/>
      <c r="AH17" s="432"/>
      <c r="AI17" s="433"/>
      <c r="AJ17" s="433"/>
      <c r="AK17" s="433"/>
      <c r="AL17" s="433"/>
      <c r="AM17" s="434"/>
      <c r="AN17" s="37"/>
      <c r="AO17" s="477"/>
      <c r="AP17" s="478"/>
      <c r="AQ17" s="478"/>
      <c r="AR17" s="478"/>
      <c r="AS17" s="478"/>
      <c r="AT17" s="479"/>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row>
    <row r="18" spans="1:80" ht="15" customHeight="1" x14ac:dyDescent="0.25">
      <c r="A18" s="37"/>
      <c r="B18" s="463"/>
      <c r="C18" s="463"/>
      <c r="D18" s="464"/>
      <c r="E18" s="454"/>
      <c r="F18" s="455"/>
      <c r="G18" s="455"/>
      <c r="H18" s="455"/>
      <c r="I18" s="455"/>
      <c r="J18" s="419" t="str">
        <f>IF(AND('Mapa final'!$J$22="Alta",'Mapa final'!$N$22="Leve"),CONCATENATE("R",'Mapa final'!$C$22),"")</f>
        <v/>
      </c>
      <c r="K18" s="420"/>
      <c r="L18" s="420" t="str">
        <f>IF(AND('Mapa final'!$J$23="Alta",'Mapa final'!$N$23="Leve"),CONCATENATE("R",'Mapa final'!$C$23),"")</f>
        <v/>
      </c>
      <c r="M18" s="420"/>
      <c r="N18" s="420" t="str">
        <f>IF(AND('Mapa final'!$J$24="Alta",'Mapa final'!$N$24="Leve"),CONCATENATE("R",'Mapa final'!$C$24),"")</f>
        <v/>
      </c>
      <c r="O18" s="421"/>
      <c r="P18" s="419" t="str">
        <f>IF(AND('Mapa final'!$J$22="Alta",'Mapa final'!$N$22="Menor"),CONCATENATE("R",'Mapa final'!$C$22),"")</f>
        <v/>
      </c>
      <c r="Q18" s="420"/>
      <c r="R18" s="420" t="str">
        <f>IF(AND('Mapa final'!$J$23="Alta",'Mapa final'!$N$23="Menor"),CONCATENATE("R",'Mapa final'!$C$23),"")</f>
        <v/>
      </c>
      <c r="S18" s="420"/>
      <c r="T18" s="420" t="str">
        <f>IF(AND('Mapa final'!$J$24="Alta",'Mapa final'!$N$24="Menor"),CONCATENATE("R",'Mapa final'!$C$24),"")</f>
        <v/>
      </c>
      <c r="U18" s="421"/>
      <c r="V18" s="441" t="str">
        <f>IF(AND('Mapa final'!$J$22="Alta",'Mapa final'!$N$22="Moderado"),CONCATENATE("R",'Mapa final'!$C$22),"")</f>
        <v/>
      </c>
      <c r="W18" s="442"/>
      <c r="X18" s="442" t="str">
        <f>IF(AND('Mapa final'!$J$23="Alta",'Mapa final'!$N$23="Moderado"),CONCATENATE("R",'Mapa final'!$C$23),"")</f>
        <v/>
      </c>
      <c r="Y18" s="442"/>
      <c r="Z18" s="442" t="str">
        <f>IF(AND('Mapa final'!$J$24="Alta",'Mapa final'!$N$24="Moderado"),CONCATENATE("R",'Mapa final'!$C$24),"")</f>
        <v/>
      </c>
      <c r="AA18" s="443"/>
      <c r="AB18" s="441" t="str">
        <f>IF(AND('Mapa final'!$J$22="Alta",'Mapa final'!$N$22="Mayor"),CONCATENATE("R",'Mapa final'!$C$22),"")</f>
        <v/>
      </c>
      <c r="AC18" s="442"/>
      <c r="AD18" s="442" t="str">
        <f>IF(AND('Mapa final'!$J$23="Alta",'Mapa final'!$N$23="Mayor"),CONCATENATE("R",'Mapa final'!$C$23),"")</f>
        <v/>
      </c>
      <c r="AE18" s="442"/>
      <c r="AF18" s="442" t="str">
        <f>IF(AND('Mapa final'!$J$24="Alta",'Mapa final'!$N$24="Mayor"),CONCATENATE("R",'Mapa final'!$C$24),"")</f>
        <v/>
      </c>
      <c r="AG18" s="443"/>
      <c r="AH18" s="432" t="str">
        <f>IF(AND('Mapa final'!$J$22="Alta",'Mapa final'!$N$22="Catastrófico"),CONCATENATE("R",'Mapa final'!$C$22),"")</f>
        <v/>
      </c>
      <c r="AI18" s="433"/>
      <c r="AJ18" s="433" t="str">
        <f>IF(AND('Mapa final'!$J$23="Alta",'Mapa final'!$N$23="Catastrófico"),CONCATENATE("R",'Mapa final'!$C$23),"")</f>
        <v/>
      </c>
      <c r="AK18" s="433"/>
      <c r="AL18" s="433" t="str">
        <f>IF(AND('Mapa final'!$J$24="Alta",'Mapa final'!$N$24="Catastrófico"),CONCATENATE("R",'Mapa final'!$C$24),"")</f>
        <v/>
      </c>
      <c r="AM18" s="434"/>
      <c r="AN18" s="37"/>
      <c r="AO18" s="477"/>
      <c r="AP18" s="478"/>
      <c r="AQ18" s="478"/>
      <c r="AR18" s="478"/>
      <c r="AS18" s="478"/>
      <c r="AT18" s="479"/>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row>
    <row r="19" spans="1:80" ht="15" customHeight="1" x14ac:dyDescent="0.25">
      <c r="A19" s="37"/>
      <c r="B19" s="463"/>
      <c r="C19" s="463"/>
      <c r="D19" s="464"/>
      <c r="E19" s="454"/>
      <c r="F19" s="455"/>
      <c r="G19" s="455"/>
      <c r="H19" s="455"/>
      <c r="I19" s="455"/>
      <c r="J19" s="419"/>
      <c r="K19" s="420"/>
      <c r="L19" s="420"/>
      <c r="M19" s="420"/>
      <c r="N19" s="420"/>
      <c r="O19" s="421"/>
      <c r="P19" s="419"/>
      <c r="Q19" s="420"/>
      <c r="R19" s="420"/>
      <c r="S19" s="420"/>
      <c r="T19" s="420"/>
      <c r="U19" s="421"/>
      <c r="V19" s="441"/>
      <c r="W19" s="442"/>
      <c r="X19" s="442"/>
      <c r="Y19" s="442"/>
      <c r="Z19" s="442"/>
      <c r="AA19" s="443"/>
      <c r="AB19" s="441"/>
      <c r="AC19" s="442"/>
      <c r="AD19" s="442"/>
      <c r="AE19" s="442"/>
      <c r="AF19" s="442"/>
      <c r="AG19" s="443"/>
      <c r="AH19" s="432"/>
      <c r="AI19" s="433"/>
      <c r="AJ19" s="433"/>
      <c r="AK19" s="433"/>
      <c r="AL19" s="433"/>
      <c r="AM19" s="434"/>
      <c r="AN19" s="37"/>
      <c r="AO19" s="477"/>
      <c r="AP19" s="478"/>
      <c r="AQ19" s="478"/>
      <c r="AR19" s="478"/>
      <c r="AS19" s="478"/>
      <c r="AT19" s="479"/>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row>
    <row r="20" spans="1:80" ht="15" customHeight="1" x14ac:dyDescent="0.25">
      <c r="A20" s="37"/>
      <c r="B20" s="463"/>
      <c r="C20" s="463"/>
      <c r="D20" s="464"/>
      <c r="E20" s="454"/>
      <c r="F20" s="455"/>
      <c r="G20" s="455"/>
      <c r="H20" s="455"/>
      <c r="I20" s="455"/>
      <c r="J20" s="419" t="str">
        <f>IF(AND('Mapa final'!$J$27="Alta",'Mapa final'!$N$27="Leve"),CONCATENATE("R",'Mapa final'!$C$27),"")</f>
        <v/>
      </c>
      <c r="K20" s="420"/>
      <c r="L20" s="420" t="e">
        <f>IF(AND('Mapa final'!#REF!="Alta",'Mapa final'!#REF!="Leve"),CONCATENATE("R",'Mapa final'!#REF!),"")</f>
        <v>#REF!</v>
      </c>
      <c r="M20" s="420"/>
      <c r="N20" s="420" t="e">
        <f>IF(AND('Mapa final'!#REF!="Alta",'Mapa final'!#REF!="Leve"),CONCATENATE("R",'Mapa final'!#REF!),"")</f>
        <v>#REF!</v>
      </c>
      <c r="O20" s="421"/>
      <c r="P20" s="419" t="str">
        <f>IF(AND('Mapa final'!$J$27="Alta",'Mapa final'!$N$27="Menor"),CONCATENATE("R",'Mapa final'!$C$27),"")</f>
        <v/>
      </c>
      <c r="Q20" s="420"/>
      <c r="R20" s="420" t="e">
        <f>IF(AND('Mapa final'!#REF!="Alta",'Mapa final'!#REF!="Menor"),CONCATENATE("R",'Mapa final'!#REF!),"")</f>
        <v>#REF!</v>
      </c>
      <c r="S20" s="420"/>
      <c r="T20" s="420" t="e">
        <f>IF(AND('Mapa final'!#REF!="Alta",'Mapa final'!#REF!="Menor"),CONCATENATE("R",'Mapa final'!#REF!),"")</f>
        <v>#REF!</v>
      </c>
      <c r="U20" s="421"/>
      <c r="V20" s="441" t="str">
        <f>IF(AND('Mapa final'!$J$27="Alta",'Mapa final'!$N$27="Moderado"),CONCATENATE("R",'Mapa final'!$C$27),"")</f>
        <v>R10</v>
      </c>
      <c r="W20" s="442"/>
      <c r="X20" s="442" t="e">
        <f>IF(AND('Mapa final'!#REF!="Alta",'Mapa final'!#REF!="Moderado"),CONCATENATE("R",'Mapa final'!#REF!),"")</f>
        <v>#REF!</v>
      </c>
      <c r="Y20" s="442"/>
      <c r="Z20" s="442" t="e">
        <f>IF(AND('Mapa final'!#REF!="Alta",'Mapa final'!#REF!="Moderado"),CONCATENATE("R",'Mapa final'!#REF!),"")</f>
        <v>#REF!</v>
      </c>
      <c r="AA20" s="443"/>
      <c r="AB20" s="441" t="str">
        <f>IF(AND('Mapa final'!$J$27="Alta",'Mapa final'!$N$27="Mayor"),CONCATENATE("R",'Mapa final'!$C$27),"")</f>
        <v/>
      </c>
      <c r="AC20" s="442"/>
      <c r="AD20" s="442" t="e">
        <f>IF(AND('Mapa final'!#REF!="Alta",'Mapa final'!#REF!="Mayor"),CONCATENATE("R",'Mapa final'!#REF!),"")</f>
        <v>#REF!</v>
      </c>
      <c r="AE20" s="442"/>
      <c r="AF20" s="442" t="e">
        <f>IF(AND('Mapa final'!#REF!="Alta",'Mapa final'!#REF!="Mayor"),CONCATENATE("R",'Mapa final'!#REF!),"")</f>
        <v>#REF!</v>
      </c>
      <c r="AG20" s="443"/>
      <c r="AH20" s="432" t="str">
        <f>IF(AND('Mapa final'!$J$27="Alta",'Mapa final'!$N$27="Catastrófico"),CONCATENATE("R",'Mapa final'!$C$27),"")</f>
        <v/>
      </c>
      <c r="AI20" s="433"/>
      <c r="AJ20" s="433" t="e">
        <f>IF(AND('Mapa final'!#REF!="Alta",'Mapa final'!#REF!="Catastrófico"),CONCATENATE("R",'Mapa final'!#REF!),"")</f>
        <v>#REF!</v>
      </c>
      <c r="AK20" s="433"/>
      <c r="AL20" s="433" t="e">
        <f>IF(AND('Mapa final'!#REF!="Alta",'Mapa final'!#REF!="Catastrófico"),CONCATENATE("R",'Mapa final'!#REF!),"")</f>
        <v>#REF!</v>
      </c>
      <c r="AM20" s="434"/>
      <c r="AN20" s="37"/>
      <c r="AO20" s="477"/>
      <c r="AP20" s="478"/>
      <c r="AQ20" s="478"/>
      <c r="AR20" s="478"/>
      <c r="AS20" s="478"/>
      <c r="AT20" s="479"/>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row>
    <row r="21" spans="1:80" ht="15.75" customHeight="1" thickBot="1" x14ac:dyDescent="0.3">
      <c r="A21" s="37"/>
      <c r="B21" s="463"/>
      <c r="C21" s="463"/>
      <c r="D21" s="464"/>
      <c r="E21" s="457"/>
      <c r="F21" s="458"/>
      <c r="G21" s="458"/>
      <c r="H21" s="458"/>
      <c r="I21" s="458"/>
      <c r="J21" s="422"/>
      <c r="K21" s="423"/>
      <c r="L21" s="423"/>
      <c r="M21" s="423"/>
      <c r="N21" s="423"/>
      <c r="O21" s="424"/>
      <c r="P21" s="422"/>
      <c r="Q21" s="423"/>
      <c r="R21" s="423"/>
      <c r="S21" s="423"/>
      <c r="T21" s="423"/>
      <c r="U21" s="424"/>
      <c r="V21" s="444"/>
      <c r="W21" s="445"/>
      <c r="X21" s="445"/>
      <c r="Y21" s="445"/>
      <c r="Z21" s="445"/>
      <c r="AA21" s="446"/>
      <c r="AB21" s="444"/>
      <c r="AC21" s="445"/>
      <c r="AD21" s="445"/>
      <c r="AE21" s="445"/>
      <c r="AF21" s="445"/>
      <c r="AG21" s="446"/>
      <c r="AH21" s="435"/>
      <c r="AI21" s="436"/>
      <c r="AJ21" s="436"/>
      <c r="AK21" s="436"/>
      <c r="AL21" s="436"/>
      <c r="AM21" s="437"/>
      <c r="AN21" s="37"/>
      <c r="AO21" s="480"/>
      <c r="AP21" s="481"/>
      <c r="AQ21" s="481"/>
      <c r="AR21" s="481"/>
      <c r="AS21" s="481"/>
      <c r="AT21" s="482"/>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row>
    <row r="22" spans="1:80" x14ac:dyDescent="0.25">
      <c r="A22" s="37"/>
      <c r="B22" s="463"/>
      <c r="C22" s="463"/>
      <c r="D22" s="464"/>
      <c r="E22" s="451" t="s">
        <v>117</v>
      </c>
      <c r="F22" s="452"/>
      <c r="G22" s="452"/>
      <c r="H22" s="452"/>
      <c r="I22" s="453"/>
      <c r="J22" s="425" t="str">
        <f>IF(AND('Mapa final'!$J$13="Media",'Mapa final'!$N$13="Leve"),CONCATENATE("R",'Mapa final'!$C$13),"")</f>
        <v/>
      </c>
      <c r="K22" s="426"/>
      <c r="L22" s="426" t="str">
        <f>IF(AND('Mapa final'!$J$16="Media",'Mapa final'!$N$16="Leve"),CONCATENATE("R",'Mapa final'!$C$16),"")</f>
        <v/>
      </c>
      <c r="M22" s="426"/>
      <c r="N22" s="426" t="str">
        <f>IF(AND('Mapa final'!$J$17="Media",'Mapa final'!$N$17="Leve"),CONCATENATE("R",'Mapa final'!$C$17),"")</f>
        <v/>
      </c>
      <c r="O22" s="427"/>
      <c r="P22" s="425" t="str">
        <f>IF(AND('Mapa final'!$J$13="Media",'Mapa final'!$N$13="Menor"),CONCATENATE("R",'Mapa final'!$C$13),"")</f>
        <v/>
      </c>
      <c r="Q22" s="426"/>
      <c r="R22" s="426" t="str">
        <f>IF(AND('Mapa final'!$J$16="Media",'Mapa final'!$N$16="Menor"),CONCATENATE("R",'Mapa final'!$C$16),"")</f>
        <v/>
      </c>
      <c r="S22" s="426"/>
      <c r="T22" s="426" t="str">
        <f>IF(AND('Mapa final'!$J$17="Media",'Mapa final'!$N$17="Menor"),CONCATENATE("R",'Mapa final'!$C$17),"")</f>
        <v/>
      </c>
      <c r="U22" s="427"/>
      <c r="V22" s="425" t="str">
        <f>IF(AND('Mapa final'!$J$13="Media",'Mapa final'!$N$13="Moderado"),CONCATENATE("R",'Mapa final'!$C$13),"")</f>
        <v>R1</v>
      </c>
      <c r="W22" s="426"/>
      <c r="X22" s="426" t="str">
        <f>IF(AND('Mapa final'!$J$16="Media",'Mapa final'!$N$16="Moderado"),CONCATENATE("R",'Mapa final'!$C$16),"")</f>
        <v>R2</v>
      </c>
      <c r="Y22" s="426"/>
      <c r="Z22" s="426" t="str">
        <f>IF(AND('Mapa final'!$J$17="Media",'Mapa final'!$N$17="Moderado"),CONCATENATE("R",'Mapa final'!$C$17),"")</f>
        <v>R3</v>
      </c>
      <c r="AA22" s="427"/>
      <c r="AB22" s="447" t="str">
        <f>IF(AND('Mapa final'!$J$13="Media",'Mapa final'!$N$13="Mayor"),CONCATENATE("R",'Mapa final'!$C$13),"")</f>
        <v/>
      </c>
      <c r="AC22" s="448"/>
      <c r="AD22" s="448" t="str">
        <f>IF(AND('Mapa final'!$J$16="Media",'Mapa final'!$N$16="Mayor"),CONCATENATE("R",'Mapa final'!$C$16),"")</f>
        <v/>
      </c>
      <c r="AE22" s="448"/>
      <c r="AF22" s="448" t="str">
        <f>IF(AND('Mapa final'!$J$17="Media",'Mapa final'!$N$17="Mayor"),CONCATENATE("R",'Mapa final'!$C$17),"")</f>
        <v/>
      </c>
      <c r="AG22" s="449"/>
      <c r="AH22" s="438" t="str">
        <f>IF(AND('Mapa final'!$J$13="Media",'Mapa final'!$N$13="Catastrófico"),CONCATENATE("R",'Mapa final'!$C$13),"")</f>
        <v/>
      </c>
      <c r="AI22" s="439"/>
      <c r="AJ22" s="439" t="str">
        <f>IF(AND('Mapa final'!$J$16="Media",'Mapa final'!$N$16="Catastrófico"),CONCATENATE("R",'Mapa final'!$C$16),"")</f>
        <v/>
      </c>
      <c r="AK22" s="439"/>
      <c r="AL22" s="439" t="str">
        <f>IF(AND('Mapa final'!$J$17="Media",'Mapa final'!$N$17="Catastrófico"),CONCATENATE("R",'Mapa final'!$C$17),"")</f>
        <v/>
      </c>
      <c r="AM22" s="440"/>
      <c r="AN22" s="37"/>
      <c r="AO22" s="483" t="s">
        <v>81</v>
      </c>
      <c r="AP22" s="484"/>
      <c r="AQ22" s="484"/>
      <c r="AR22" s="484"/>
      <c r="AS22" s="484"/>
      <c r="AT22" s="485"/>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row>
    <row r="23" spans="1:80" x14ac:dyDescent="0.25">
      <c r="A23" s="37"/>
      <c r="B23" s="463"/>
      <c r="C23" s="463"/>
      <c r="D23" s="464"/>
      <c r="E23" s="454"/>
      <c r="F23" s="455"/>
      <c r="G23" s="455"/>
      <c r="H23" s="455"/>
      <c r="I23" s="456"/>
      <c r="J23" s="419"/>
      <c r="K23" s="420"/>
      <c r="L23" s="420"/>
      <c r="M23" s="420"/>
      <c r="N23" s="420"/>
      <c r="O23" s="421"/>
      <c r="P23" s="419"/>
      <c r="Q23" s="420"/>
      <c r="R23" s="420"/>
      <c r="S23" s="420"/>
      <c r="T23" s="420"/>
      <c r="U23" s="421"/>
      <c r="V23" s="419"/>
      <c r="W23" s="420"/>
      <c r="X23" s="420"/>
      <c r="Y23" s="420"/>
      <c r="Z23" s="420"/>
      <c r="AA23" s="421"/>
      <c r="AB23" s="441"/>
      <c r="AC23" s="442"/>
      <c r="AD23" s="442"/>
      <c r="AE23" s="442"/>
      <c r="AF23" s="442"/>
      <c r="AG23" s="443"/>
      <c r="AH23" s="432"/>
      <c r="AI23" s="433"/>
      <c r="AJ23" s="433"/>
      <c r="AK23" s="433"/>
      <c r="AL23" s="433"/>
      <c r="AM23" s="434"/>
      <c r="AN23" s="37"/>
      <c r="AO23" s="486"/>
      <c r="AP23" s="487"/>
      <c r="AQ23" s="487"/>
      <c r="AR23" s="487"/>
      <c r="AS23" s="487"/>
      <c r="AT23" s="488"/>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row>
    <row r="24" spans="1:80" x14ac:dyDescent="0.25">
      <c r="A24" s="37"/>
      <c r="B24" s="463"/>
      <c r="C24" s="463"/>
      <c r="D24" s="464"/>
      <c r="E24" s="454"/>
      <c r="F24" s="455"/>
      <c r="G24" s="455"/>
      <c r="H24" s="455"/>
      <c r="I24" s="456"/>
      <c r="J24" s="419" t="str">
        <f>IF(AND('Mapa final'!$J$18="Media",'Mapa final'!$N$18="Leve"),CONCATENATE("R",'Mapa final'!$C$18),"")</f>
        <v/>
      </c>
      <c r="K24" s="420"/>
      <c r="L24" s="420" t="str">
        <f>IF(AND('Mapa final'!$J$19="Media",'Mapa final'!$N$19="Leve"),CONCATENATE("R",'Mapa final'!$C$19),"")</f>
        <v>R5</v>
      </c>
      <c r="M24" s="420"/>
      <c r="N24" s="420" t="str">
        <f>IF(AND('Mapa final'!$J$21="Media",'Mapa final'!$N$21="Leve"),CONCATENATE("R",'Mapa final'!$C$21),"")</f>
        <v>R6</v>
      </c>
      <c r="O24" s="421"/>
      <c r="P24" s="419" t="str">
        <f>IF(AND('Mapa final'!$J$18="Media",'Mapa final'!$N$18="Menor"),CONCATENATE("R",'Mapa final'!$C$18),"")</f>
        <v/>
      </c>
      <c r="Q24" s="420"/>
      <c r="R24" s="420" t="str">
        <f>IF(AND('Mapa final'!$J$19="Media",'Mapa final'!$N$19="Menor"),CONCATENATE("R",'Mapa final'!$C$19),"")</f>
        <v/>
      </c>
      <c r="S24" s="420"/>
      <c r="T24" s="420" t="str">
        <f>IF(AND('Mapa final'!$J$21="Media",'Mapa final'!$N$21="Menor"),CONCATENATE("R",'Mapa final'!$C$21),"")</f>
        <v/>
      </c>
      <c r="U24" s="421"/>
      <c r="V24" s="419" t="str">
        <f>IF(AND('Mapa final'!$J$18="Media",'Mapa final'!$N$18="Moderado"),CONCATENATE("R",'Mapa final'!$C$18),"")</f>
        <v>R4</v>
      </c>
      <c r="W24" s="420"/>
      <c r="X24" s="420" t="str">
        <f>IF(AND('Mapa final'!$J$19="Media",'Mapa final'!$N$19="Moderado"),CONCATENATE("R",'Mapa final'!$C$19),"")</f>
        <v/>
      </c>
      <c r="Y24" s="420"/>
      <c r="Z24" s="420" t="str">
        <f>IF(AND('Mapa final'!$J$21="Media",'Mapa final'!$N$21="Moderado"),CONCATENATE("R",'Mapa final'!$C$21),"")</f>
        <v/>
      </c>
      <c r="AA24" s="421"/>
      <c r="AB24" s="441" t="str">
        <f>IF(AND('Mapa final'!$J$18="Media",'Mapa final'!$N$18="Mayor"),CONCATENATE("R",'Mapa final'!$C$18),"")</f>
        <v/>
      </c>
      <c r="AC24" s="442"/>
      <c r="AD24" s="442" t="str">
        <f>IF(AND('Mapa final'!$J$19="Media",'Mapa final'!$N$19="Mayor"),CONCATENATE("R",'Mapa final'!$C$19),"")</f>
        <v/>
      </c>
      <c r="AE24" s="442"/>
      <c r="AF24" s="442" t="str">
        <f>IF(AND('Mapa final'!$J$21="Media",'Mapa final'!$N$21="Mayor"),CONCATENATE("R",'Mapa final'!$C$21),"")</f>
        <v/>
      </c>
      <c r="AG24" s="443"/>
      <c r="AH24" s="432" t="str">
        <f>IF(AND('Mapa final'!$J$18="Media",'Mapa final'!$N$18="Catastrófico"),CONCATENATE("R",'Mapa final'!$C$18),"")</f>
        <v/>
      </c>
      <c r="AI24" s="433"/>
      <c r="AJ24" s="433" t="str">
        <f>IF(AND('Mapa final'!$J$19="Media",'Mapa final'!$N$19="Catastrófico"),CONCATENATE("R",'Mapa final'!$C$19),"")</f>
        <v/>
      </c>
      <c r="AK24" s="433"/>
      <c r="AL24" s="433" t="str">
        <f>IF(AND('Mapa final'!$J$21="Media",'Mapa final'!$N$21="Catastrófico"),CONCATENATE("R",'Mapa final'!$C$21),"")</f>
        <v/>
      </c>
      <c r="AM24" s="434"/>
      <c r="AN24" s="37"/>
      <c r="AO24" s="486"/>
      <c r="AP24" s="487"/>
      <c r="AQ24" s="487"/>
      <c r="AR24" s="487"/>
      <c r="AS24" s="487"/>
      <c r="AT24" s="488"/>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row>
    <row r="25" spans="1:80" x14ac:dyDescent="0.25">
      <c r="A25" s="37"/>
      <c r="B25" s="463"/>
      <c r="C25" s="463"/>
      <c r="D25" s="464"/>
      <c r="E25" s="454"/>
      <c r="F25" s="455"/>
      <c r="G25" s="455"/>
      <c r="H25" s="455"/>
      <c r="I25" s="456"/>
      <c r="J25" s="419"/>
      <c r="K25" s="420"/>
      <c r="L25" s="420"/>
      <c r="M25" s="420"/>
      <c r="N25" s="420"/>
      <c r="O25" s="421"/>
      <c r="P25" s="419"/>
      <c r="Q25" s="420"/>
      <c r="R25" s="420"/>
      <c r="S25" s="420"/>
      <c r="T25" s="420"/>
      <c r="U25" s="421"/>
      <c r="V25" s="419"/>
      <c r="W25" s="420"/>
      <c r="X25" s="420"/>
      <c r="Y25" s="420"/>
      <c r="Z25" s="420"/>
      <c r="AA25" s="421"/>
      <c r="AB25" s="441"/>
      <c r="AC25" s="442"/>
      <c r="AD25" s="442"/>
      <c r="AE25" s="442"/>
      <c r="AF25" s="442"/>
      <c r="AG25" s="443"/>
      <c r="AH25" s="432"/>
      <c r="AI25" s="433"/>
      <c r="AJ25" s="433"/>
      <c r="AK25" s="433"/>
      <c r="AL25" s="433"/>
      <c r="AM25" s="434"/>
      <c r="AN25" s="37"/>
      <c r="AO25" s="486"/>
      <c r="AP25" s="487"/>
      <c r="AQ25" s="487"/>
      <c r="AR25" s="487"/>
      <c r="AS25" s="487"/>
      <c r="AT25" s="488"/>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row>
    <row r="26" spans="1:80" x14ac:dyDescent="0.25">
      <c r="A26" s="37"/>
      <c r="B26" s="463"/>
      <c r="C26" s="463"/>
      <c r="D26" s="464"/>
      <c r="E26" s="454"/>
      <c r="F26" s="455"/>
      <c r="G26" s="455"/>
      <c r="H26" s="455"/>
      <c r="I26" s="456"/>
      <c r="J26" s="419" t="str">
        <f>IF(AND('Mapa final'!$J$22="Media",'Mapa final'!$N$22="Leve"),CONCATENATE("R",'Mapa final'!$C$22),"")</f>
        <v>R7</v>
      </c>
      <c r="K26" s="420"/>
      <c r="L26" s="420" t="str">
        <f>IF(AND('Mapa final'!$J$23="Media",'Mapa final'!$N$23="Leve"),CONCATENATE("R",'Mapa final'!$C$23),"")</f>
        <v>R8</v>
      </c>
      <c r="M26" s="420"/>
      <c r="N26" s="420" t="str">
        <f>IF(AND('Mapa final'!$J$24="Media",'Mapa final'!$N$24="Leve"),CONCATENATE("R",'Mapa final'!$C$24),"")</f>
        <v/>
      </c>
      <c r="O26" s="421"/>
      <c r="P26" s="419" t="str">
        <f>IF(AND('Mapa final'!$J$22="Media",'Mapa final'!$N$22="Menor"),CONCATENATE("R",'Mapa final'!$C$22),"")</f>
        <v/>
      </c>
      <c r="Q26" s="420"/>
      <c r="R26" s="420" t="str">
        <f>IF(AND('Mapa final'!$J$23="Media",'Mapa final'!$N$23="Menor"),CONCATENATE("R",'Mapa final'!$C$23),"")</f>
        <v/>
      </c>
      <c r="S26" s="420"/>
      <c r="T26" s="420" t="str">
        <f>IF(AND('Mapa final'!$J$24="Media",'Mapa final'!$N$24="Menor"),CONCATENATE("R",'Mapa final'!$C$24),"")</f>
        <v/>
      </c>
      <c r="U26" s="421"/>
      <c r="V26" s="419" t="str">
        <f>IF(AND('Mapa final'!$J$22="Media",'Mapa final'!$N$22="Moderado"),CONCATENATE("R",'Mapa final'!$C$22),"")</f>
        <v/>
      </c>
      <c r="W26" s="420"/>
      <c r="X26" s="420" t="str">
        <f>IF(AND('Mapa final'!$J$23="Media",'Mapa final'!$N$23="Moderado"),CONCATENATE("R",'Mapa final'!$C$23),"")</f>
        <v/>
      </c>
      <c r="Y26" s="420"/>
      <c r="Z26" s="420" t="str">
        <f>IF(AND('Mapa final'!$J$24="Media",'Mapa final'!$N$24="Moderado"),CONCATENATE("R",'Mapa final'!$C$24),"")</f>
        <v>R9</v>
      </c>
      <c r="AA26" s="421"/>
      <c r="AB26" s="441" t="str">
        <f>IF(AND('Mapa final'!$J$22="Media",'Mapa final'!$N$22="Mayor"),CONCATENATE("R",'Mapa final'!$C$22),"")</f>
        <v/>
      </c>
      <c r="AC26" s="442"/>
      <c r="AD26" s="442" t="str">
        <f>IF(AND('Mapa final'!$J$23="Media",'Mapa final'!$N$23="Mayor"),CONCATENATE("R",'Mapa final'!$C$23),"")</f>
        <v/>
      </c>
      <c r="AE26" s="442"/>
      <c r="AF26" s="442" t="str">
        <f>IF(AND('Mapa final'!$J$24="Media",'Mapa final'!$N$24="Mayor"),CONCATENATE("R",'Mapa final'!$C$24),"")</f>
        <v/>
      </c>
      <c r="AG26" s="443"/>
      <c r="AH26" s="432" t="str">
        <f>IF(AND('Mapa final'!$J$22="Media",'Mapa final'!$N$22="Catastrófico"),CONCATENATE("R",'Mapa final'!$C$22),"")</f>
        <v/>
      </c>
      <c r="AI26" s="433"/>
      <c r="AJ26" s="433" t="str">
        <f>IF(AND('Mapa final'!$J$23="Media",'Mapa final'!$N$23="Catastrófico"),CONCATENATE("R",'Mapa final'!$C$23),"")</f>
        <v/>
      </c>
      <c r="AK26" s="433"/>
      <c r="AL26" s="433" t="str">
        <f>IF(AND('Mapa final'!$J$24="Media",'Mapa final'!$N$24="Catastrófico"),CONCATENATE("R",'Mapa final'!$C$24),"")</f>
        <v/>
      </c>
      <c r="AM26" s="434"/>
      <c r="AN26" s="37"/>
      <c r="AO26" s="486"/>
      <c r="AP26" s="487"/>
      <c r="AQ26" s="487"/>
      <c r="AR26" s="487"/>
      <c r="AS26" s="487"/>
      <c r="AT26" s="488"/>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row>
    <row r="27" spans="1:80" x14ac:dyDescent="0.25">
      <c r="A27" s="37"/>
      <c r="B27" s="463"/>
      <c r="C27" s="463"/>
      <c r="D27" s="464"/>
      <c r="E27" s="454"/>
      <c r="F27" s="455"/>
      <c r="G27" s="455"/>
      <c r="H27" s="455"/>
      <c r="I27" s="456"/>
      <c r="J27" s="419"/>
      <c r="K27" s="420"/>
      <c r="L27" s="420"/>
      <c r="M27" s="420"/>
      <c r="N27" s="420"/>
      <c r="O27" s="421"/>
      <c r="P27" s="419"/>
      <c r="Q27" s="420"/>
      <c r="R27" s="420"/>
      <c r="S27" s="420"/>
      <c r="T27" s="420"/>
      <c r="U27" s="421"/>
      <c r="V27" s="419"/>
      <c r="W27" s="420"/>
      <c r="X27" s="420"/>
      <c r="Y27" s="420"/>
      <c r="Z27" s="420"/>
      <c r="AA27" s="421"/>
      <c r="AB27" s="441"/>
      <c r="AC27" s="442"/>
      <c r="AD27" s="442"/>
      <c r="AE27" s="442"/>
      <c r="AF27" s="442"/>
      <c r="AG27" s="443"/>
      <c r="AH27" s="432"/>
      <c r="AI27" s="433"/>
      <c r="AJ27" s="433"/>
      <c r="AK27" s="433"/>
      <c r="AL27" s="433"/>
      <c r="AM27" s="434"/>
      <c r="AN27" s="37"/>
      <c r="AO27" s="486"/>
      <c r="AP27" s="487"/>
      <c r="AQ27" s="487"/>
      <c r="AR27" s="487"/>
      <c r="AS27" s="487"/>
      <c r="AT27" s="488"/>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row>
    <row r="28" spans="1:80" x14ac:dyDescent="0.25">
      <c r="A28" s="37"/>
      <c r="B28" s="463"/>
      <c r="C28" s="463"/>
      <c r="D28" s="464"/>
      <c r="E28" s="454"/>
      <c r="F28" s="455"/>
      <c r="G28" s="455"/>
      <c r="H28" s="455"/>
      <c r="I28" s="456"/>
      <c r="J28" s="419" t="str">
        <f>IF(AND('Mapa final'!$J$27="Media",'Mapa final'!$N$27="Leve"),CONCATENATE("R",'Mapa final'!$C$27),"")</f>
        <v/>
      </c>
      <c r="K28" s="420"/>
      <c r="L28" s="420" t="e">
        <f>IF(AND('Mapa final'!#REF!="Media",'Mapa final'!#REF!="Leve"),CONCATENATE("R",'Mapa final'!#REF!),"")</f>
        <v>#REF!</v>
      </c>
      <c r="M28" s="420"/>
      <c r="N28" s="420" t="e">
        <f>IF(AND('Mapa final'!#REF!="Media",'Mapa final'!#REF!="Leve"),CONCATENATE("R",'Mapa final'!#REF!),"")</f>
        <v>#REF!</v>
      </c>
      <c r="O28" s="421"/>
      <c r="P28" s="419" t="str">
        <f>IF(AND('Mapa final'!$J$27="Media",'Mapa final'!$N$27="Menor"),CONCATENATE("R",'Mapa final'!$C$27),"")</f>
        <v/>
      </c>
      <c r="Q28" s="420"/>
      <c r="R28" s="420" t="e">
        <f>IF(AND('Mapa final'!#REF!="Media",'Mapa final'!#REF!="Menor"),CONCATENATE("R",'Mapa final'!#REF!),"")</f>
        <v>#REF!</v>
      </c>
      <c r="S28" s="420"/>
      <c r="T28" s="420" t="e">
        <f>IF(AND('Mapa final'!#REF!="Media",'Mapa final'!#REF!="Menor"),CONCATENATE("R",'Mapa final'!#REF!),"")</f>
        <v>#REF!</v>
      </c>
      <c r="U28" s="421"/>
      <c r="V28" s="419" t="str">
        <f>IF(AND('Mapa final'!$J$27="Media",'Mapa final'!$N$27="Moderado"),CONCATENATE("R",'Mapa final'!$C$27),"")</f>
        <v/>
      </c>
      <c r="W28" s="420"/>
      <c r="X28" s="420" t="e">
        <f>IF(AND('Mapa final'!#REF!="Media",'Mapa final'!#REF!="Moderado"),CONCATENATE("R",'Mapa final'!#REF!),"")</f>
        <v>#REF!</v>
      </c>
      <c r="Y28" s="420"/>
      <c r="Z28" s="420" t="e">
        <f>IF(AND('Mapa final'!#REF!="Media",'Mapa final'!#REF!="Moderado"),CONCATENATE("R",'Mapa final'!#REF!),"")</f>
        <v>#REF!</v>
      </c>
      <c r="AA28" s="421"/>
      <c r="AB28" s="441" t="str">
        <f>IF(AND('Mapa final'!$J$27="Media",'Mapa final'!$N$27="Mayor"),CONCATENATE("R",'Mapa final'!$C$27),"")</f>
        <v/>
      </c>
      <c r="AC28" s="442"/>
      <c r="AD28" s="442" t="e">
        <f>IF(AND('Mapa final'!#REF!="Media",'Mapa final'!#REF!="Mayor"),CONCATENATE("R",'Mapa final'!#REF!),"")</f>
        <v>#REF!</v>
      </c>
      <c r="AE28" s="442"/>
      <c r="AF28" s="442" t="e">
        <f>IF(AND('Mapa final'!#REF!="Media",'Mapa final'!#REF!="Mayor"),CONCATENATE("R",'Mapa final'!#REF!),"")</f>
        <v>#REF!</v>
      </c>
      <c r="AG28" s="443"/>
      <c r="AH28" s="432" t="str">
        <f>IF(AND('Mapa final'!$J$27="Media",'Mapa final'!$N$27="Catastrófico"),CONCATENATE("R",'Mapa final'!$C$27),"")</f>
        <v/>
      </c>
      <c r="AI28" s="433"/>
      <c r="AJ28" s="433" t="e">
        <f>IF(AND('Mapa final'!#REF!="Media",'Mapa final'!#REF!="Catastrófico"),CONCATENATE("R",'Mapa final'!#REF!),"")</f>
        <v>#REF!</v>
      </c>
      <c r="AK28" s="433"/>
      <c r="AL28" s="433" t="e">
        <f>IF(AND('Mapa final'!#REF!="Media",'Mapa final'!#REF!="Catastrófico"),CONCATENATE("R",'Mapa final'!#REF!),"")</f>
        <v>#REF!</v>
      </c>
      <c r="AM28" s="434"/>
      <c r="AN28" s="37"/>
      <c r="AO28" s="486"/>
      <c r="AP28" s="487"/>
      <c r="AQ28" s="487"/>
      <c r="AR28" s="487"/>
      <c r="AS28" s="487"/>
      <c r="AT28" s="488"/>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row>
    <row r="29" spans="1:80" ht="15.75" thickBot="1" x14ac:dyDescent="0.3">
      <c r="A29" s="37"/>
      <c r="B29" s="463"/>
      <c r="C29" s="463"/>
      <c r="D29" s="464"/>
      <c r="E29" s="457"/>
      <c r="F29" s="458"/>
      <c r="G29" s="458"/>
      <c r="H29" s="458"/>
      <c r="I29" s="459"/>
      <c r="J29" s="419"/>
      <c r="K29" s="420"/>
      <c r="L29" s="420"/>
      <c r="M29" s="420"/>
      <c r="N29" s="420"/>
      <c r="O29" s="421"/>
      <c r="P29" s="422"/>
      <c r="Q29" s="423"/>
      <c r="R29" s="423"/>
      <c r="S29" s="423"/>
      <c r="T29" s="423"/>
      <c r="U29" s="424"/>
      <c r="V29" s="422"/>
      <c r="W29" s="423"/>
      <c r="X29" s="423"/>
      <c r="Y29" s="423"/>
      <c r="Z29" s="423"/>
      <c r="AA29" s="424"/>
      <c r="AB29" s="444"/>
      <c r="AC29" s="445"/>
      <c r="AD29" s="445"/>
      <c r="AE29" s="445"/>
      <c r="AF29" s="445"/>
      <c r="AG29" s="446"/>
      <c r="AH29" s="435"/>
      <c r="AI29" s="436"/>
      <c r="AJ29" s="436"/>
      <c r="AK29" s="436"/>
      <c r="AL29" s="436"/>
      <c r="AM29" s="437"/>
      <c r="AN29" s="37"/>
      <c r="AO29" s="489"/>
      <c r="AP29" s="490"/>
      <c r="AQ29" s="490"/>
      <c r="AR29" s="490"/>
      <c r="AS29" s="490"/>
      <c r="AT29" s="491"/>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row>
    <row r="30" spans="1:80" x14ac:dyDescent="0.25">
      <c r="A30" s="37"/>
      <c r="B30" s="463"/>
      <c r="C30" s="463"/>
      <c r="D30" s="464"/>
      <c r="E30" s="451" t="s">
        <v>114</v>
      </c>
      <c r="F30" s="452"/>
      <c r="G30" s="452"/>
      <c r="H30" s="452"/>
      <c r="I30" s="452"/>
      <c r="J30" s="416" t="str">
        <f>IF(AND('Mapa final'!$J$13="Baja",'Mapa final'!$N$13="Leve"),CONCATENATE("R",'Mapa final'!$C$13),"")</f>
        <v/>
      </c>
      <c r="K30" s="417"/>
      <c r="L30" s="417" t="str">
        <f>IF(AND('Mapa final'!$J$16="Baja",'Mapa final'!$N$16="Leve"),CONCATENATE("R",'Mapa final'!$C$16),"")</f>
        <v/>
      </c>
      <c r="M30" s="417"/>
      <c r="N30" s="417" t="str">
        <f>IF(AND('Mapa final'!$J$17="Baja",'Mapa final'!$N$17="Leve"),CONCATENATE("R",'Mapa final'!$C$17),"")</f>
        <v/>
      </c>
      <c r="O30" s="418"/>
      <c r="P30" s="426" t="str">
        <f>IF(AND('Mapa final'!$J$13="Baja",'Mapa final'!$N$13="Menor"),CONCATENATE("R",'Mapa final'!$C$13),"")</f>
        <v/>
      </c>
      <c r="Q30" s="426"/>
      <c r="R30" s="426" t="str">
        <f>IF(AND('Mapa final'!$J$16="Baja",'Mapa final'!$N$16="Menor"),CONCATENATE("R",'Mapa final'!$C$16),"")</f>
        <v/>
      </c>
      <c r="S30" s="426"/>
      <c r="T30" s="426" t="str">
        <f>IF(AND('Mapa final'!$J$17="Baja",'Mapa final'!$N$17="Menor"),CONCATENATE("R",'Mapa final'!$C$17),"")</f>
        <v/>
      </c>
      <c r="U30" s="427"/>
      <c r="V30" s="425" t="str">
        <f>IF(AND('Mapa final'!$J$13="Baja",'Mapa final'!$N$13="Moderado"),CONCATENATE("R",'Mapa final'!$C$13),"")</f>
        <v/>
      </c>
      <c r="W30" s="426"/>
      <c r="X30" s="426" t="str">
        <f>IF(AND('Mapa final'!$J$16="Baja",'Mapa final'!$N$16="Moderado"),CONCATENATE("R",'Mapa final'!$C$16),"")</f>
        <v/>
      </c>
      <c r="Y30" s="426"/>
      <c r="Z30" s="426" t="str">
        <f>IF(AND('Mapa final'!$J$17="Baja",'Mapa final'!$N$17="Moderado"),CONCATENATE("R",'Mapa final'!$C$17),"")</f>
        <v/>
      </c>
      <c r="AA30" s="427"/>
      <c r="AB30" s="447" t="str">
        <f>IF(AND('Mapa final'!$J$13="Baja",'Mapa final'!$N$13="Mayor"),CONCATENATE("R",'Mapa final'!$C$13),"")</f>
        <v/>
      </c>
      <c r="AC30" s="448"/>
      <c r="AD30" s="448" t="str">
        <f>IF(AND('Mapa final'!$J$16="Baja",'Mapa final'!$N$16="Mayor"),CONCATENATE("R",'Mapa final'!$C$16),"")</f>
        <v/>
      </c>
      <c r="AE30" s="448"/>
      <c r="AF30" s="448" t="str">
        <f>IF(AND('Mapa final'!$J$17="Baja",'Mapa final'!$N$17="Mayor"),CONCATENATE("R",'Mapa final'!$C$17),"")</f>
        <v/>
      </c>
      <c r="AG30" s="449"/>
      <c r="AH30" s="438" t="str">
        <f>IF(AND('Mapa final'!$J$13="Baja",'Mapa final'!$N$13="Catastrófico"),CONCATENATE("R",'Mapa final'!$C$13),"")</f>
        <v/>
      </c>
      <c r="AI30" s="439"/>
      <c r="AJ30" s="439" t="str">
        <f>IF(AND('Mapa final'!$J$16="Baja",'Mapa final'!$N$16="Catastrófico"),CONCATENATE("R",'Mapa final'!$C$16),"")</f>
        <v/>
      </c>
      <c r="AK30" s="439"/>
      <c r="AL30" s="439" t="str">
        <f>IF(AND('Mapa final'!$J$17="Baja",'Mapa final'!$N$17="Catastrófico"),CONCATENATE("R",'Mapa final'!$C$17),"")</f>
        <v/>
      </c>
      <c r="AM30" s="440"/>
      <c r="AN30" s="37"/>
      <c r="AO30" s="492" t="s">
        <v>82</v>
      </c>
      <c r="AP30" s="493"/>
      <c r="AQ30" s="493"/>
      <c r="AR30" s="493"/>
      <c r="AS30" s="493"/>
      <c r="AT30" s="494"/>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row>
    <row r="31" spans="1:80" x14ac:dyDescent="0.25">
      <c r="A31" s="37"/>
      <c r="B31" s="463"/>
      <c r="C31" s="463"/>
      <c r="D31" s="464"/>
      <c r="E31" s="454"/>
      <c r="F31" s="455"/>
      <c r="G31" s="455"/>
      <c r="H31" s="455"/>
      <c r="I31" s="455"/>
      <c r="J31" s="410"/>
      <c r="K31" s="411"/>
      <c r="L31" s="411"/>
      <c r="M31" s="411"/>
      <c r="N31" s="411"/>
      <c r="O31" s="412"/>
      <c r="P31" s="420"/>
      <c r="Q31" s="420"/>
      <c r="R31" s="420"/>
      <c r="S31" s="420"/>
      <c r="T31" s="420"/>
      <c r="U31" s="421"/>
      <c r="V31" s="419"/>
      <c r="W31" s="420"/>
      <c r="X31" s="420"/>
      <c r="Y31" s="420"/>
      <c r="Z31" s="420"/>
      <c r="AA31" s="421"/>
      <c r="AB31" s="441"/>
      <c r="AC31" s="442"/>
      <c r="AD31" s="442"/>
      <c r="AE31" s="442"/>
      <c r="AF31" s="442"/>
      <c r="AG31" s="443"/>
      <c r="AH31" s="432"/>
      <c r="AI31" s="433"/>
      <c r="AJ31" s="433"/>
      <c r="AK31" s="433"/>
      <c r="AL31" s="433"/>
      <c r="AM31" s="434"/>
      <c r="AN31" s="37"/>
      <c r="AO31" s="495"/>
      <c r="AP31" s="496"/>
      <c r="AQ31" s="496"/>
      <c r="AR31" s="496"/>
      <c r="AS31" s="496"/>
      <c r="AT31" s="49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row>
    <row r="32" spans="1:80" x14ac:dyDescent="0.25">
      <c r="A32" s="37"/>
      <c r="B32" s="463"/>
      <c r="C32" s="463"/>
      <c r="D32" s="464"/>
      <c r="E32" s="454"/>
      <c r="F32" s="455"/>
      <c r="G32" s="455"/>
      <c r="H32" s="455"/>
      <c r="I32" s="455"/>
      <c r="J32" s="410" t="str">
        <f>IF(AND('Mapa final'!$J$18="Baja",'Mapa final'!$N$18="Leve"),CONCATENATE("R",'Mapa final'!$C$18),"")</f>
        <v/>
      </c>
      <c r="K32" s="411"/>
      <c r="L32" s="411" t="str">
        <f>IF(AND('Mapa final'!$J$19="Baja",'Mapa final'!$N$19="Leve"),CONCATENATE("R",'Mapa final'!$C$19),"")</f>
        <v/>
      </c>
      <c r="M32" s="411"/>
      <c r="N32" s="411" t="str">
        <f>IF(AND('Mapa final'!$J$21="Baja",'Mapa final'!$N$21="Leve"),CONCATENATE("R",'Mapa final'!$C$21),"")</f>
        <v/>
      </c>
      <c r="O32" s="412"/>
      <c r="P32" s="420" t="str">
        <f>IF(AND('Mapa final'!$J$18="Baja",'Mapa final'!$N$18="Menor"),CONCATENATE("R",'Mapa final'!$C$18),"")</f>
        <v/>
      </c>
      <c r="Q32" s="420"/>
      <c r="R32" s="420" t="str">
        <f>IF(AND('Mapa final'!$J$19="Baja",'Mapa final'!$N$19="Menor"),CONCATENATE("R",'Mapa final'!$C$19),"")</f>
        <v/>
      </c>
      <c r="S32" s="420"/>
      <c r="T32" s="420" t="str">
        <f>IF(AND('Mapa final'!$J$21="Baja",'Mapa final'!$N$21="Menor"),CONCATENATE("R",'Mapa final'!$C$21),"")</f>
        <v/>
      </c>
      <c r="U32" s="421"/>
      <c r="V32" s="419" t="str">
        <f>IF(AND('Mapa final'!$J$18="Baja",'Mapa final'!$N$18="Moderado"),CONCATENATE("R",'Mapa final'!$C$18),"")</f>
        <v/>
      </c>
      <c r="W32" s="420"/>
      <c r="X32" s="420" t="str">
        <f>IF(AND('Mapa final'!$J$19="Baja",'Mapa final'!$N$19="Moderado"),CONCATENATE("R",'Mapa final'!$C$19),"")</f>
        <v/>
      </c>
      <c r="Y32" s="420"/>
      <c r="Z32" s="420" t="str">
        <f>IF(AND('Mapa final'!$J$21="Baja",'Mapa final'!$N$21="Moderado"),CONCATENATE("R",'Mapa final'!$C$21),"")</f>
        <v/>
      </c>
      <c r="AA32" s="421"/>
      <c r="AB32" s="441" t="str">
        <f>IF(AND('Mapa final'!$J$18="Baja",'Mapa final'!$N$18="Mayor"),CONCATENATE("R",'Mapa final'!$C$18),"")</f>
        <v/>
      </c>
      <c r="AC32" s="442"/>
      <c r="AD32" s="442" t="str">
        <f>IF(AND('Mapa final'!$J$19="Baja",'Mapa final'!$N$19="Mayor"),CONCATENATE("R",'Mapa final'!$C$19),"")</f>
        <v/>
      </c>
      <c r="AE32" s="442"/>
      <c r="AF32" s="442" t="str">
        <f>IF(AND('Mapa final'!$J$21="Baja",'Mapa final'!$N$21="Mayor"),CONCATENATE("R",'Mapa final'!$C$21),"")</f>
        <v/>
      </c>
      <c r="AG32" s="443"/>
      <c r="AH32" s="432" t="str">
        <f>IF(AND('Mapa final'!$J$18="Baja",'Mapa final'!$N$18="Catastrófico"),CONCATENATE("R",'Mapa final'!$C$18),"")</f>
        <v/>
      </c>
      <c r="AI32" s="433"/>
      <c r="AJ32" s="433" t="str">
        <f>IF(AND('Mapa final'!$J$19="Baja",'Mapa final'!$N$19="Catastrófico"),CONCATENATE("R",'Mapa final'!$C$19),"")</f>
        <v/>
      </c>
      <c r="AK32" s="433"/>
      <c r="AL32" s="433" t="str">
        <f>IF(AND('Mapa final'!$J$21="Baja",'Mapa final'!$N$21="Catastrófico"),CONCATENATE("R",'Mapa final'!$C$21),"")</f>
        <v/>
      </c>
      <c r="AM32" s="434"/>
      <c r="AN32" s="37"/>
      <c r="AO32" s="495"/>
      <c r="AP32" s="496"/>
      <c r="AQ32" s="496"/>
      <c r="AR32" s="496"/>
      <c r="AS32" s="496"/>
      <c r="AT32" s="49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row>
    <row r="33" spans="1:80" x14ac:dyDescent="0.25">
      <c r="A33" s="37"/>
      <c r="B33" s="463"/>
      <c r="C33" s="463"/>
      <c r="D33" s="464"/>
      <c r="E33" s="454"/>
      <c r="F33" s="455"/>
      <c r="G33" s="455"/>
      <c r="H33" s="455"/>
      <c r="I33" s="455"/>
      <c r="J33" s="410"/>
      <c r="K33" s="411"/>
      <c r="L33" s="411"/>
      <c r="M33" s="411"/>
      <c r="N33" s="411"/>
      <c r="O33" s="412"/>
      <c r="P33" s="420"/>
      <c r="Q33" s="420"/>
      <c r="R33" s="420"/>
      <c r="S33" s="420"/>
      <c r="T33" s="420"/>
      <c r="U33" s="421"/>
      <c r="V33" s="419"/>
      <c r="W33" s="420"/>
      <c r="X33" s="420"/>
      <c r="Y33" s="420"/>
      <c r="Z33" s="420"/>
      <c r="AA33" s="421"/>
      <c r="AB33" s="441"/>
      <c r="AC33" s="442"/>
      <c r="AD33" s="442"/>
      <c r="AE33" s="442"/>
      <c r="AF33" s="442"/>
      <c r="AG33" s="443"/>
      <c r="AH33" s="432"/>
      <c r="AI33" s="433"/>
      <c r="AJ33" s="433"/>
      <c r="AK33" s="433"/>
      <c r="AL33" s="433"/>
      <c r="AM33" s="434"/>
      <c r="AN33" s="37"/>
      <c r="AO33" s="495"/>
      <c r="AP33" s="496"/>
      <c r="AQ33" s="496"/>
      <c r="AR33" s="496"/>
      <c r="AS33" s="496"/>
      <c r="AT33" s="49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row>
    <row r="34" spans="1:80" x14ac:dyDescent="0.25">
      <c r="A34" s="37"/>
      <c r="B34" s="463"/>
      <c r="C34" s="463"/>
      <c r="D34" s="464"/>
      <c r="E34" s="454"/>
      <c r="F34" s="455"/>
      <c r="G34" s="455"/>
      <c r="H34" s="455"/>
      <c r="I34" s="455"/>
      <c r="J34" s="410" t="str">
        <f>IF(AND('Mapa final'!$J$22="Baja",'Mapa final'!$N$22="Leve"),CONCATENATE("R",'Mapa final'!$C$22),"")</f>
        <v/>
      </c>
      <c r="K34" s="411"/>
      <c r="L34" s="411" t="str">
        <f>IF(AND('Mapa final'!$J$23="Baja",'Mapa final'!$N$23="Leve"),CONCATENATE("R",'Mapa final'!$C$23),"")</f>
        <v/>
      </c>
      <c r="M34" s="411"/>
      <c r="N34" s="411" t="str">
        <f>IF(AND('Mapa final'!$J$24="Baja",'Mapa final'!$N$24="Leve"),CONCATENATE("R",'Mapa final'!$C$24),"")</f>
        <v/>
      </c>
      <c r="O34" s="412"/>
      <c r="P34" s="420" t="str">
        <f>IF(AND('Mapa final'!$J$22="Baja",'Mapa final'!$N$22="Menor"),CONCATENATE("R",'Mapa final'!$C$22),"")</f>
        <v/>
      </c>
      <c r="Q34" s="420"/>
      <c r="R34" s="420" t="str">
        <f>IF(AND('Mapa final'!$J$23="Baja",'Mapa final'!$N$23="Menor"),CONCATENATE("R",'Mapa final'!$C$23),"")</f>
        <v/>
      </c>
      <c r="S34" s="420"/>
      <c r="T34" s="420" t="str">
        <f>IF(AND('Mapa final'!$J$24="Baja",'Mapa final'!$N$24="Menor"),CONCATENATE("R",'Mapa final'!$C$24),"")</f>
        <v/>
      </c>
      <c r="U34" s="421"/>
      <c r="V34" s="419" t="str">
        <f>IF(AND('Mapa final'!$J$22="Baja",'Mapa final'!$N$22="Moderado"),CONCATENATE("R",'Mapa final'!$C$22),"")</f>
        <v/>
      </c>
      <c r="W34" s="420"/>
      <c r="X34" s="420" t="str">
        <f>IF(AND('Mapa final'!$J$23="Baja",'Mapa final'!$N$23="Moderado"),CONCATENATE("R",'Mapa final'!$C$23),"")</f>
        <v/>
      </c>
      <c r="Y34" s="420"/>
      <c r="Z34" s="420" t="str">
        <f>IF(AND('Mapa final'!$J$24="Baja",'Mapa final'!$N$24="Moderado"),CONCATENATE("R",'Mapa final'!$C$24),"")</f>
        <v/>
      </c>
      <c r="AA34" s="421"/>
      <c r="AB34" s="441" t="str">
        <f>IF(AND('Mapa final'!$J$22="Baja",'Mapa final'!$N$22="Mayor"),CONCATENATE("R",'Mapa final'!$C$22),"")</f>
        <v/>
      </c>
      <c r="AC34" s="442"/>
      <c r="AD34" s="442" t="str">
        <f>IF(AND('Mapa final'!$J$23="Baja",'Mapa final'!$N$23="Mayor"),CONCATENATE("R",'Mapa final'!$C$23),"")</f>
        <v/>
      </c>
      <c r="AE34" s="442"/>
      <c r="AF34" s="442" t="str">
        <f>IF(AND('Mapa final'!$J$24="Baja",'Mapa final'!$N$24="Mayor"),CONCATENATE("R",'Mapa final'!$C$24),"")</f>
        <v/>
      </c>
      <c r="AG34" s="443"/>
      <c r="AH34" s="432" t="str">
        <f>IF(AND('Mapa final'!$J$22="Baja",'Mapa final'!$N$22="Catastrófico"),CONCATENATE("R",'Mapa final'!$C$22),"")</f>
        <v/>
      </c>
      <c r="AI34" s="433"/>
      <c r="AJ34" s="433" t="str">
        <f>IF(AND('Mapa final'!$J$23="Baja",'Mapa final'!$N$23="Catastrófico"),CONCATENATE("R",'Mapa final'!$C$23),"")</f>
        <v/>
      </c>
      <c r="AK34" s="433"/>
      <c r="AL34" s="433" t="str">
        <f>IF(AND('Mapa final'!$J$24="Baja",'Mapa final'!$N$24="Catastrófico"),CONCATENATE("R",'Mapa final'!$C$24),"")</f>
        <v/>
      </c>
      <c r="AM34" s="434"/>
      <c r="AN34" s="37"/>
      <c r="AO34" s="495"/>
      <c r="AP34" s="496"/>
      <c r="AQ34" s="496"/>
      <c r="AR34" s="496"/>
      <c r="AS34" s="496"/>
      <c r="AT34" s="49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row>
    <row r="35" spans="1:80" x14ac:dyDescent="0.25">
      <c r="A35" s="37"/>
      <c r="B35" s="463"/>
      <c r="C35" s="463"/>
      <c r="D35" s="464"/>
      <c r="E35" s="454"/>
      <c r="F35" s="455"/>
      <c r="G35" s="455"/>
      <c r="H35" s="455"/>
      <c r="I35" s="455"/>
      <c r="J35" s="410"/>
      <c r="K35" s="411"/>
      <c r="L35" s="411"/>
      <c r="M35" s="411"/>
      <c r="N35" s="411"/>
      <c r="O35" s="412"/>
      <c r="P35" s="420"/>
      <c r="Q35" s="420"/>
      <c r="R35" s="420"/>
      <c r="S35" s="420"/>
      <c r="T35" s="420"/>
      <c r="U35" s="421"/>
      <c r="V35" s="419"/>
      <c r="W35" s="420"/>
      <c r="X35" s="420"/>
      <c r="Y35" s="420"/>
      <c r="Z35" s="420"/>
      <c r="AA35" s="421"/>
      <c r="AB35" s="441"/>
      <c r="AC35" s="442"/>
      <c r="AD35" s="442"/>
      <c r="AE35" s="442"/>
      <c r="AF35" s="442"/>
      <c r="AG35" s="443"/>
      <c r="AH35" s="432"/>
      <c r="AI35" s="433"/>
      <c r="AJ35" s="433"/>
      <c r="AK35" s="433"/>
      <c r="AL35" s="433"/>
      <c r="AM35" s="434"/>
      <c r="AN35" s="37"/>
      <c r="AO35" s="495"/>
      <c r="AP35" s="496"/>
      <c r="AQ35" s="496"/>
      <c r="AR35" s="496"/>
      <c r="AS35" s="496"/>
      <c r="AT35" s="49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row>
    <row r="36" spans="1:80" x14ac:dyDescent="0.25">
      <c r="A36" s="37"/>
      <c r="B36" s="463"/>
      <c r="C36" s="463"/>
      <c r="D36" s="464"/>
      <c r="E36" s="454"/>
      <c r="F36" s="455"/>
      <c r="G36" s="455"/>
      <c r="H36" s="455"/>
      <c r="I36" s="455"/>
      <c r="J36" s="410" t="str">
        <f>IF(AND('Mapa final'!$J$27="Baja",'Mapa final'!$N$27="Leve"),CONCATENATE("R",'Mapa final'!$C$27),"")</f>
        <v/>
      </c>
      <c r="K36" s="411"/>
      <c r="L36" s="411" t="e">
        <f>IF(AND('Mapa final'!#REF!="Baja",'Mapa final'!#REF!="Leve"),CONCATENATE("R",'Mapa final'!#REF!),"")</f>
        <v>#REF!</v>
      </c>
      <c r="M36" s="411"/>
      <c r="N36" s="411" t="e">
        <f>IF(AND('Mapa final'!#REF!="Baja",'Mapa final'!#REF!="Leve"),CONCATENATE("R",'Mapa final'!#REF!),"")</f>
        <v>#REF!</v>
      </c>
      <c r="O36" s="412"/>
      <c r="P36" s="420" t="str">
        <f>IF(AND('Mapa final'!$J$27="Baja",'Mapa final'!$N$27="Menor"),CONCATENATE("R",'Mapa final'!$C$27),"")</f>
        <v/>
      </c>
      <c r="Q36" s="420"/>
      <c r="R36" s="420" t="e">
        <f>IF(AND('Mapa final'!#REF!="Baja",'Mapa final'!#REF!="Menor"),CONCATENATE("R",'Mapa final'!#REF!),"")</f>
        <v>#REF!</v>
      </c>
      <c r="S36" s="420"/>
      <c r="T36" s="420" t="e">
        <f>IF(AND('Mapa final'!#REF!="Baja",'Mapa final'!#REF!="Menor"),CONCATENATE("R",'Mapa final'!#REF!),"")</f>
        <v>#REF!</v>
      </c>
      <c r="U36" s="421"/>
      <c r="V36" s="419" t="str">
        <f>IF(AND('Mapa final'!$J$27="Baja",'Mapa final'!$N$27="Moderado"),CONCATENATE("R",'Mapa final'!$C$27),"")</f>
        <v/>
      </c>
      <c r="W36" s="420"/>
      <c r="X36" s="420" t="e">
        <f>IF(AND('Mapa final'!#REF!="Baja",'Mapa final'!#REF!="Moderado"),CONCATENATE("R",'Mapa final'!#REF!),"")</f>
        <v>#REF!</v>
      </c>
      <c r="Y36" s="420"/>
      <c r="Z36" s="420" t="e">
        <f>IF(AND('Mapa final'!#REF!="Baja",'Mapa final'!#REF!="Moderado"),CONCATENATE("R",'Mapa final'!#REF!),"")</f>
        <v>#REF!</v>
      </c>
      <c r="AA36" s="421"/>
      <c r="AB36" s="441" t="str">
        <f>IF(AND('Mapa final'!$J$27="Baja",'Mapa final'!$N$27="Mayor"),CONCATENATE("R",'Mapa final'!$C$27),"")</f>
        <v/>
      </c>
      <c r="AC36" s="442"/>
      <c r="AD36" s="442" t="e">
        <f>IF(AND('Mapa final'!#REF!="Baja",'Mapa final'!#REF!="Mayor"),CONCATENATE("R",'Mapa final'!#REF!),"")</f>
        <v>#REF!</v>
      </c>
      <c r="AE36" s="442"/>
      <c r="AF36" s="442" t="e">
        <f>IF(AND('Mapa final'!#REF!="Baja",'Mapa final'!#REF!="Mayor"),CONCATENATE("R",'Mapa final'!#REF!),"")</f>
        <v>#REF!</v>
      </c>
      <c r="AG36" s="443"/>
      <c r="AH36" s="432" t="str">
        <f>IF(AND('Mapa final'!$J$27="Baja",'Mapa final'!$N$27="Catastrófico"),CONCATENATE("R",'Mapa final'!$C$27),"")</f>
        <v/>
      </c>
      <c r="AI36" s="433"/>
      <c r="AJ36" s="433" t="e">
        <f>IF(AND('Mapa final'!#REF!="Baja",'Mapa final'!#REF!="Catastrófico"),CONCATENATE("R",'Mapa final'!#REF!),"")</f>
        <v>#REF!</v>
      </c>
      <c r="AK36" s="433"/>
      <c r="AL36" s="433" t="e">
        <f>IF(AND('Mapa final'!#REF!="Baja",'Mapa final'!#REF!="Catastrófico"),CONCATENATE("R",'Mapa final'!#REF!),"")</f>
        <v>#REF!</v>
      </c>
      <c r="AM36" s="434"/>
      <c r="AN36" s="37"/>
      <c r="AO36" s="495"/>
      <c r="AP36" s="496"/>
      <c r="AQ36" s="496"/>
      <c r="AR36" s="496"/>
      <c r="AS36" s="496"/>
      <c r="AT36" s="49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row>
    <row r="37" spans="1:80" ht="15.75" thickBot="1" x14ac:dyDescent="0.3">
      <c r="A37" s="37"/>
      <c r="B37" s="463"/>
      <c r="C37" s="463"/>
      <c r="D37" s="464"/>
      <c r="E37" s="457"/>
      <c r="F37" s="458"/>
      <c r="G37" s="458"/>
      <c r="H37" s="458"/>
      <c r="I37" s="458"/>
      <c r="J37" s="413"/>
      <c r="K37" s="414"/>
      <c r="L37" s="414"/>
      <c r="M37" s="414"/>
      <c r="N37" s="414"/>
      <c r="O37" s="415"/>
      <c r="P37" s="423"/>
      <c r="Q37" s="423"/>
      <c r="R37" s="423"/>
      <c r="S37" s="423"/>
      <c r="T37" s="423"/>
      <c r="U37" s="424"/>
      <c r="V37" s="422"/>
      <c r="W37" s="423"/>
      <c r="X37" s="423"/>
      <c r="Y37" s="423"/>
      <c r="Z37" s="423"/>
      <c r="AA37" s="424"/>
      <c r="AB37" s="444"/>
      <c r="AC37" s="445"/>
      <c r="AD37" s="445"/>
      <c r="AE37" s="445"/>
      <c r="AF37" s="445"/>
      <c r="AG37" s="446"/>
      <c r="AH37" s="435"/>
      <c r="AI37" s="436"/>
      <c r="AJ37" s="436"/>
      <c r="AK37" s="436"/>
      <c r="AL37" s="436"/>
      <c r="AM37" s="437"/>
      <c r="AN37" s="37"/>
      <c r="AO37" s="498"/>
      <c r="AP37" s="499"/>
      <c r="AQ37" s="499"/>
      <c r="AR37" s="499"/>
      <c r="AS37" s="499"/>
      <c r="AT37" s="500"/>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row>
    <row r="38" spans="1:80" x14ac:dyDescent="0.25">
      <c r="A38" s="37"/>
      <c r="B38" s="463"/>
      <c r="C38" s="463"/>
      <c r="D38" s="464"/>
      <c r="E38" s="451" t="s">
        <v>113</v>
      </c>
      <c r="F38" s="452"/>
      <c r="G38" s="452"/>
      <c r="H38" s="452"/>
      <c r="I38" s="453"/>
      <c r="J38" s="416" t="str">
        <f>IF(AND('Mapa final'!$J$13="Muy Baja",'Mapa final'!$N$13="Leve"),CONCATENATE("R",'Mapa final'!$C$13),"")</f>
        <v/>
      </c>
      <c r="K38" s="417"/>
      <c r="L38" s="417" t="str">
        <f>IF(AND('Mapa final'!$J$16="Muy Baja",'Mapa final'!$N$16="Leve"),CONCATENATE("R",'Mapa final'!$C$16),"")</f>
        <v/>
      </c>
      <c r="M38" s="417"/>
      <c r="N38" s="417" t="str">
        <f>IF(AND('Mapa final'!$J$17="Muy Baja",'Mapa final'!$N$17="Leve"),CONCATENATE("R",'Mapa final'!$C$17),"")</f>
        <v/>
      </c>
      <c r="O38" s="418"/>
      <c r="P38" s="416" t="str">
        <f>IF(AND('Mapa final'!$J$13="Muy Baja",'Mapa final'!$N$13="Menor"),CONCATENATE("R",'Mapa final'!$C$13),"")</f>
        <v/>
      </c>
      <c r="Q38" s="417"/>
      <c r="R38" s="417" t="str">
        <f>IF(AND('Mapa final'!$J$16="Muy Baja",'Mapa final'!$N$16="Menor"),CONCATENATE("R",'Mapa final'!$C$16),"")</f>
        <v/>
      </c>
      <c r="S38" s="417"/>
      <c r="T38" s="417" t="str">
        <f>IF(AND('Mapa final'!$J$17="Muy Baja",'Mapa final'!$N$17="Menor"),CONCATENATE("R",'Mapa final'!$C$17),"")</f>
        <v/>
      </c>
      <c r="U38" s="418"/>
      <c r="V38" s="425" t="str">
        <f>IF(AND('Mapa final'!$J$13="Muy Baja",'Mapa final'!$N$13="Moderado"),CONCATENATE("R",'Mapa final'!$C$13),"")</f>
        <v/>
      </c>
      <c r="W38" s="426"/>
      <c r="X38" s="426" t="str">
        <f>IF(AND('Mapa final'!$J$16="Muy Baja",'Mapa final'!$N$16="Moderado"),CONCATENATE("R",'Mapa final'!$C$16),"")</f>
        <v/>
      </c>
      <c r="Y38" s="426"/>
      <c r="Z38" s="426" t="str">
        <f>IF(AND('Mapa final'!$J$17="Muy Baja",'Mapa final'!$N$17="Moderado"),CONCATENATE("R",'Mapa final'!$C$17),"")</f>
        <v/>
      </c>
      <c r="AA38" s="427"/>
      <c r="AB38" s="447" t="str">
        <f>IF(AND('Mapa final'!$J$13="Muy Baja",'Mapa final'!$N$13="Mayor"),CONCATENATE("R",'Mapa final'!$C$13),"")</f>
        <v/>
      </c>
      <c r="AC38" s="448"/>
      <c r="AD38" s="448" t="str">
        <f>IF(AND('Mapa final'!$J$16="Muy Baja",'Mapa final'!$N$16="Mayor"),CONCATENATE("R",'Mapa final'!$C$16),"")</f>
        <v/>
      </c>
      <c r="AE38" s="448"/>
      <c r="AF38" s="448" t="str">
        <f>IF(AND('Mapa final'!$J$17="Muy Baja",'Mapa final'!$N$17="Mayor"),CONCATENATE("R",'Mapa final'!$C$17),"")</f>
        <v/>
      </c>
      <c r="AG38" s="449"/>
      <c r="AH38" s="438" t="str">
        <f>IF(AND('Mapa final'!$J$13="Muy Baja",'Mapa final'!$N$13="Catastrófico"),CONCATENATE("R",'Mapa final'!$C$13),"")</f>
        <v/>
      </c>
      <c r="AI38" s="439"/>
      <c r="AJ38" s="439" t="str">
        <f>IF(AND('Mapa final'!$J$16="Muy Baja",'Mapa final'!$N$16="Catastrófico"),CONCATENATE("R",'Mapa final'!$C$16),"")</f>
        <v/>
      </c>
      <c r="AK38" s="439"/>
      <c r="AL38" s="439" t="str">
        <f>IF(AND('Mapa final'!$J$17="Muy Baja",'Mapa final'!$N$17="Catastrófico"),CONCATENATE("R",'Mapa final'!$C$17),"")</f>
        <v/>
      </c>
      <c r="AM38" s="440"/>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row>
    <row r="39" spans="1:80" x14ac:dyDescent="0.25">
      <c r="A39" s="37"/>
      <c r="B39" s="463"/>
      <c r="C39" s="463"/>
      <c r="D39" s="464"/>
      <c r="E39" s="454"/>
      <c r="F39" s="455"/>
      <c r="G39" s="455"/>
      <c r="H39" s="455"/>
      <c r="I39" s="456"/>
      <c r="J39" s="410"/>
      <c r="K39" s="411"/>
      <c r="L39" s="411"/>
      <c r="M39" s="411"/>
      <c r="N39" s="411"/>
      <c r="O39" s="412"/>
      <c r="P39" s="410"/>
      <c r="Q39" s="411"/>
      <c r="R39" s="411"/>
      <c r="S39" s="411"/>
      <c r="T39" s="411"/>
      <c r="U39" s="412"/>
      <c r="V39" s="419"/>
      <c r="W39" s="420"/>
      <c r="X39" s="420"/>
      <c r="Y39" s="420"/>
      <c r="Z39" s="420"/>
      <c r="AA39" s="421"/>
      <c r="AB39" s="441"/>
      <c r="AC39" s="442"/>
      <c r="AD39" s="442"/>
      <c r="AE39" s="442"/>
      <c r="AF39" s="442"/>
      <c r="AG39" s="443"/>
      <c r="AH39" s="432"/>
      <c r="AI39" s="433"/>
      <c r="AJ39" s="433"/>
      <c r="AK39" s="433"/>
      <c r="AL39" s="433"/>
      <c r="AM39" s="434"/>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row>
    <row r="40" spans="1:80" x14ac:dyDescent="0.25">
      <c r="A40" s="37"/>
      <c r="B40" s="463"/>
      <c r="C40" s="463"/>
      <c r="D40" s="464"/>
      <c r="E40" s="454"/>
      <c r="F40" s="455"/>
      <c r="G40" s="455"/>
      <c r="H40" s="455"/>
      <c r="I40" s="456"/>
      <c r="J40" s="410" t="str">
        <f>IF(AND('Mapa final'!$J$18="Muy Baja",'Mapa final'!$N$18="Leve"),CONCATENATE("R",'Mapa final'!$C$18),"")</f>
        <v/>
      </c>
      <c r="K40" s="411"/>
      <c r="L40" s="411" t="str">
        <f>IF(AND('Mapa final'!$J$19="Muy Baja",'Mapa final'!$N$19="Leve"),CONCATENATE("R",'Mapa final'!$C$19),"")</f>
        <v/>
      </c>
      <c r="M40" s="411"/>
      <c r="N40" s="411" t="str">
        <f>IF(AND('Mapa final'!$J$21="Muy Baja",'Mapa final'!$N$21="Leve"),CONCATENATE("R",'Mapa final'!$C$21),"")</f>
        <v/>
      </c>
      <c r="O40" s="412"/>
      <c r="P40" s="410" t="str">
        <f>IF(AND('Mapa final'!$J$18="Muy Baja",'Mapa final'!$N$18="Menor"),CONCATENATE("R",'Mapa final'!$C$18),"")</f>
        <v/>
      </c>
      <c r="Q40" s="411"/>
      <c r="R40" s="411" t="str">
        <f>IF(AND('Mapa final'!$J$19="Muy Baja",'Mapa final'!$N$19="Menor"),CONCATENATE("R",'Mapa final'!$C$19),"")</f>
        <v/>
      </c>
      <c r="S40" s="411"/>
      <c r="T40" s="411" t="str">
        <f>IF(AND('Mapa final'!$J$21="Muy Baja",'Mapa final'!$N$21="Menor"),CONCATENATE("R",'Mapa final'!$C$21),"")</f>
        <v/>
      </c>
      <c r="U40" s="412"/>
      <c r="V40" s="419" t="str">
        <f>IF(AND('Mapa final'!$J$18="Muy Baja",'Mapa final'!$N$18="Moderado"),CONCATENATE("R",'Mapa final'!$C$18),"")</f>
        <v/>
      </c>
      <c r="W40" s="420"/>
      <c r="X40" s="420" t="str">
        <f>IF(AND('Mapa final'!$J$19="Muy Baja",'Mapa final'!$N$19="Moderado"),CONCATENATE("R",'Mapa final'!$C$19),"")</f>
        <v/>
      </c>
      <c r="Y40" s="420"/>
      <c r="Z40" s="420" t="str">
        <f>IF(AND('Mapa final'!$J$21="Muy Baja",'Mapa final'!$N$21="Moderado"),CONCATENATE("R",'Mapa final'!$C$21),"")</f>
        <v/>
      </c>
      <c r="AA40" s="421"/>
      <c r="AB40" s="441" t="str">
        <f>IF(AND('Mapa final'!$J$18="Muy Baja",'Mapa final'!$N$18="Mayor"),CONCATENATE("R",'Mapa final'!$C$18),"")</f>
        <v/>
      </c>
      <c r="AC40" s="442"/>
      <c r="AD40" s="442" t="str">
        <f>IF(AND('Mapa final'!$J$19="Muy Baja",'Mapa final'!$N$19="Mayor"),CONCATENATE("R",'Mapa final'!$C$19),"")</f>
        <v/>
      </c>
      <c r="AE40" s="442"/>
      <c r="AF40" s="442" t="str">
        <f>IF(AND('Mapa final'!$J$21="Muy Baja",'Mapa final'!$N$21="Mayor"),CONCATENATE("R",'Mapa final'!$C$21),"")</f>
        <v/>
      </c>
      <c r="AG40" s="443"/>
      <c r="AH40" s="432" t="str">
        <f>IF(AND('Mapa final'!$J$18="Muy Baja",'Mapa final'!$N$18="Catastrófico"),CONCATENATE("R",'Mapa final'!$C$18),"")</f>
        <v/>
      </c>
      <c r="AI40" s="433"/>
      <c r="AJ40" s="433" t="str">
        <f>IF(AND('Mapa final'!$J$19="Muy Baja",'Mapa final'!$N$19="Catastrófico"),CONCATENATE("R",'Mapa final'!$C$19),"")</f>
        <v/>
      </c>
      <c r="AK40" s="433"/>
      <c r="AL40" s="433" t="str">
        <f>IF(AND('Mapa final'!$J$21="Muy Baja",'Mapa final'!$N$21="Catastrófico"),CONCATENATE("R",'Mapa final'!$C$21),"")</f>
        <v/>
      </c>
      <c r="AM40" s="434"/>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row>
    <row r="41" spans="1:80" x14ac:dyDescent="0.25">
      <c r="A41" s="37"/>
      <c r="B41" s="463"/>
      <c r="C41" s="463"/>
      <c r="D41" s="464"/>
      <c r="E41" s="454"/>
      <c r="F41" s="455"/>
      <c r="G41" s="455"/>
      <c r="H41" s="455"/>
      <c r="I41" s="456"/>
      <c r="J41" s="410"/>
      <c r="K41" s="411"/>
      <c r="L41" s="411"/>
      <c r="M41" s="411"/>
      <c r="N41" s="411"/>
      <c r="O41" s="412"/>
      <c r="P41" s="410"/>
      <c r="Q41" s="411"/>
      <c r="R41" s="411"/>
      <c r="S41" s="411"/>
      <c r="T41" s="411"/>
      <c r="U41" s="412"/>
      <c r="V41" s="419"/>
      <c r="W41" s="420"/>
      <c r="X41" s="420"/>
      <c r="Y41" s="420"/>
      <c r="Z41" s="420"/>
      <c r="AA41" s="421"/>
      <c r="AB41" s="441"/>
      <c r="AC41" s="442"/>
      <c r="AD41" s="442"/>
      <c r="AE41" s="442"/>
      <c r="AF41" s="442"/>
      <c r="AG41" s="443"/>
      <c r="AH41" s="432"/>
      <c r="AI41" s="433"/>
      <c r="AJ41" s="433"/>
      <c r="AK41" s="433"/>
      <c r="AL41" s="433"/>
      <c r="AM41" s="434"/>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row>
    <row r="42" spans="1:80" x14ac:dyDescent="0.25">
      <c r="A42" s="37"/>
      <c r="B42" s="463"/>
      <c r="C42" s="463"/>
      <c r="D42" s="464"/>
      <c r="E42" s="454"/>
      <c r="F42" s="455"/>
      <c r="G42" s="455"/>
      <c r="H42" s="455"/>
      <c r="I42" s="456"/>
      <c r="J42" s="410" t="str">
        <f>IF(AND('Mapa final'!$J$22="Muy Baja",'Mapa final'!$N$22="Leve"),CONCATENATE("R",'Mapa final'!$C$22),"")</f>
        <v/>
      </c>
      <c r="K42" s="411"/>
      <c r="L42" s="411" t="str">
        <f>IF(AND('Mapa final'!$J$23="Muy Baja",'Mapa final'!$N$23="Leve"),CONCATENATE("R",'Mapa final'!$C$23),"")</f>
        <v/>
      </c>
      <c r="M42" s="411"/>
      <c r="N42" s="411" t="str">
        <f>IF(AND('Mapa final'!$J$24="Muy Baja",'Mapa final'!$N$24="Leve"),CONCATENATE("R",'Mapa final'!$C$24),"")</f>
        <v/>
      </c>
      <c r="O42" s="412"/>
      <c r="P42" s="410" t="str">
        <f>IF(AND('Mapa final'!$J$22="Muy Baja",'Mapa final'!$N$22="Menor"),CONCATENATE("R",'Mapa final'!$C$22),"")</f>
        <v/>
      </c>
      <c r="Q42" s="411"/>
      <c r="R42" s="411" t="str">
        <f>IF(AND('Mapa final'!$J$23="Muy Baja",'Mapa final'!$N$23="Menor"),CONCATENATE("R",'Mapa final'!$C$23),"")</f>
        <v/>
      </c>
      <c r="S42" s="411"/>
      <c r="T42" s="411" t="str">
        <f>IF(AND('Mapa final'!$J$24="Muy Baja",'Mapa final'!$N$24="Menor"),CONCATENATE("R",'Mapa final'!$C$24),"")</f>
        <v/>
      </c>
      <c r="U42" s="412"/>
      <c r="V42" s="419" t="str">
        <f>IF(AND('Mapa final'!$J$22="Muy Baja",'Mapa final'!$N$22="Moderado"),CONCATENATE("R",'Mapa final'!$C$22),"")</f>
        <v/>
      </c>
      <c r="W42" s="420"/>
      <c r="X42" s="420" t="str">
        <f>IF(AND('Mapa final'!$J$23="Muy Baja",'Mapa final'!$N$23="Moderado"),CONCATENATE("R",'Mapa final'!$C$23),"")</f>
        <v/>
      </c>
      <c r="Y42" s="420"/>
      <c r="Z42" s="420" t="str">
        <f>IF(AND('Mapa final'!$J$24="Muy Baja",'Mapa final'!$N$24="Moderado"),CONCATENATE("R",'Mapa final'!$C$24),"")</f>
        <v/>
      </c>
      <c r="AA42" s="421"/>
      <c r="AB42" s="441" t="str">
        <f>IF(AND('Mapa final'!$J$22="Muy Baja",'Mapa final'!$N$22="Mayor"),CONCATENATE("R",'Mapa final'!$C$22),"")</f>
        <v/>
      </c>
      <c r="AC42" s="442"/>
      <c r="AD42" s="442" t="str">
        <f>IF(AND('Mapa final'!$J$23="Muy Baja",'Mapa final'!$N$23="Mayor"),CONCATENATE("R",'Mapa final'!$C$23),"")</f>
        <v/>
      </c>
      <c r="AE42" s="442"/>
      <c r="AF42" s="442" t="str">
        <f>IF(AND('Mapa final'!$J$24="Muy Baja",'Mapa final'!$N$24="Mayor"),CONCATENATE("R",'Mapa final'!$C$24),"")</f>
        <v/>
      </c>
      <c r="AG42" s="443"/>
      <c r="AH42" s="432" t="str">
        <f>IF(AND('Mapa final'!$J$22="Muy Baja",'Mapa final'!$N$22="Catastrófico"),CONCATENATE("R",'Mapa final'!$C$22),"")</f>
        <v/>
      </c>
      <c r="AI42" s="433"/>
      <c r="AJ42" s="433" t="str">
        <f>IF(AND('Mapa final'!$J$23="Muy Baja",'Mapa final'!$N$23="Catastrófico"),CONCATENATE("R",'Mapa final'!$C$23),"")</f>
        <v/>
      </c>
      <c r="AK42" s="433"/>
      <c r="AL42" s="433" t="str">
        <f>IF(AND('Mapa final'!$J$24="Muy Baja",'Mapa final'!$N$24="Catastrófico"),CONCATENATE("R",'Mapa final'!$C$24),"")</f>
        <v/>
      </c>
      <c r="AM42" s="434"/>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row>
    <row r="43" spans="1:80" x14ac:dyDescent="0.25">
      <c r="A43" s="37"/>
      <c r="B43" s="463"/>
      <c r="C43" s="463"/>
      <c r="D43" s="464"/>
      <c r="E43" s="454"/>
      <c r="F43" s="455"/>
      <c r="G43" s="455"/>
      <c r="H43" s="455"/>
      <c r="I43" s="456"/>
      <c r="J43" s="410"/>
      <c r="K43" s="411"/>
      <c r="L43" s="411"/>
      <c r="M43" s="411"/>
      <c r="N43" s="411"/>
      <c r="O43" s="412"/>
      <c r="P43" s="410"/>
      <c r="Q43" s="411"/>
      <c r="R43" s="411"/>
      <c r="S43" s="411"/>
      <c r="T43" s="411"/>
      <c r="U43" s="412"/>
      <c r="V43" s="419"/>
      <c r="W43" s="420"/>
      <c r="X43" s="420"/>
      <c r="Y43" s="420"/>
      <c r="Z43" s="420"/>
      <c r="AA43" s="421"/>
      <c r="AB43" s="441"/>
      <c r="AC43" s="442"/>
      <c r="AD43" s="442"/>
      <c r="AE43" s="442"/>
      <c r="AF43" s="442"/>
      <c r="AG43" s="443"/>
      <c r="AH43" s="432"/>
      <c r="AI43" s="433"/>
      <c r="AJ43" s="433"/>
      <c r="AK43" s="433"/>
      <c r="AL43" s="433"/>
      <c r="AM43" s="434"/>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row>
    <row r="44" spans="1:80" x14ac:dyDescent="0.25">
      <c r="A44" s="37"/>
      <c r="B44" s="463"/>
      <c r="C44" s="463"/>
      <c r="D44" s="464"/>
      <c r="E44" s="454"/>
      <c r="F44" s="455"/>
      <c r="G44" s="455"/>
      <c r="H44" s="455"/>
      <c r="I44" s="456"/>
      <c r="J44" s="410" t="str">
        <f>IF(AND('Mapa final'!$J$27="Muy Baja",'Mapa final'!$N$27="Leve"),CONCATENATE("R",'Mapa final'!$C$27),"")</f>
        <v/>
      </c>
      <c r="K44" s="411"/>
      <c r="L44" s="411" t="e">
        <f>IF(AND('Mapa final'!#REF!="Muy Baja",'Mapa final'!#REF!="Leve"),CONCATENATE("R",'Mapa final'!#REF!),"")</f>
        <v>#REF!</v>
      </c>
      <c r="M44" s="411"/>
      <c r="N44" s="411" t="e">
        <f>IF(AND('Mapa final'!#REF!="Muy Baja",'Mapa final'!#REF!="Leve"),CONCATENATE("R",'Mapa final'!#REF!),"")</f>
        <v>#REF!</v>
      </c>
      <c r="O44" s="412"/>
      <c r="P44" s="410" t="str">
        <f>IF(AND('Mapa final'!$J$27="Muy Baja",'Mapa final'!$N$27="Menor"),CONCATENATE("R",'Mapa final'!$C$27),"")</f>
        <v/>
      </c>
      <c r="Q44" s="411"/>
      <c r="R44" s="411" t="e">
        <f>IF(AND('Mapa final'!#REF!="Muy Baja",'Mapa final'!#REF!="Menor"),CONCATENATE("R",'Mapa final'!#REF!),"")</f>
        <v>#REF!</v>
      </c>
      <c r="S44" s="411"/>
      <c r="T44" s="411" t="e">
        <f>IF(AND('Mapa final'!#REF!="Muy Baja",'Mapa final'!#REF!="Menor"),CONCATENATE("R",'Mapa final'!#REF!),"")</f>
        <v>#REF!</v>
      </c>
      <c r="U44" s="412"/>
      <c r="V44" s="419" t="str">
        <f>IF(AND('Mapa final'!$J$27="Muy Baja",'Mapa final'!$N$27="Moderado"),CONCATENATE("R",'Mapa final'!$C$27),"")</f>
        <v/>
      </c>
      <c r="W44" s="420"/>
      <c r="X44" s="420" t="e">
        <f>IF(AND('Mapa final'!#REF!="Muy Baja",'Mapa final'!#REF!="Moderado"),CONCATENATE("R",'Mapa final'!#REF!),"")</f>
        <v>#REF!</v>
      </c>
      <c r="Y44" s="420"/>
      <c r="Z44" s="420" t="e">
        <f>IF(AND('Mapa final'!#REF!="Muy Baja",'Mapa final'!#REF!="Moderado"),CONCATENATE("R",'Mapa final'!#REF!),"")</f>
        <v>#REF!</v>
      </c>
      <c r="AA44" s="421"/>
      <c r="AB44" s="441" t="str">
        <f>IF(AND('Mapa final'!$J$27="Muy Baja",'Mapa final'!$N$27="Mayor"),CONCATENATE("R",'Mapa final'!$C$27),"")</f>
        <v/>
      </c>
      <c r="AC44" s="442"/>
      <c r="AD44" s="442" t="e">
        <f>IF(AND('Mapa final'!#REF!="Muy Baja",'Mapa final'!#REF!="Mayor"),CONCATENATE("R",'Mapa final'!#REF!),"")</f>
        <v>#REF!</v>
      </c>
      <c r="AE44" s="442"/>
      <c r="AF44" s="442" t="e">
        <f>IF(AND('Mapa final'!#REF!="Muy Baja",'Mapa final'!#REF!="Mayor"),CONCATENATE("R",'Mapa final'!#REF!),"")</f>
        <v>#REF!</v>
      </c>
      <c r="AG44" s="443"/>
      <c r="AH44" s="432" t="str">
        <f>IF(AND('Mapa final'!$J$27="Muy Baja",'Mapa final'!$N$27="Catastrófico"),CONCATENATE("R",'Mapa final'!$C$27),"")</f>
        <v/>
      </c>
      <c r="AI44" s="433"/>
      <c r="AJ44" s="433" t="e">
        <f>IF(AND('Mapa final'!#REF!="Muy Baja",'Mapa final'!#REF!="Catastrófico"),CONCATENATE("R",'Mapa final'!#REF!),"")</f>
        <v>#REF!</v>
      </c>
      <c r="AK44" s="433"/>
      <c r="AL44" s="433" t="e">
        <f>IF(AND('Mapa final'!#REF!="Muy Baja",'Mapa final'!#REF!="Catastrófico"),CONCATENATE("R",'Mapa final'!#REF!),"")</f>
        <v>#REF!</v>
      </c>
      <c r="AM44" s="434"/>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row>
    <row r="45" spans="1:80" ht="15.75" thickBot="1" x14ac:dyDescent="0.3">
      <c r="A45" s="37"/>
      <c r="B45" s="463"/>
      <c r="C45" s="463"/>
      <c r="D45" s="464"/>
      <c r="E45" s="457"/>
      <c r="F45" s="458"/>
      <c r="G45" s="458"/>
      <c r="H45" s="458"/>
      <c r="I45" s="459"/>
      <c r="J45" s="413"/>
      <c r="K45" s="414"/>
      <c r="L45" s="414"/>
      <c r="M45" s="414"/>
      <c r="N45" s="414"/>
      <c r="O45" s="415"/>
      <c r="P45" s="413"/>
      <c r="Q45" s="414"/>
      <c r="R45" s="414"/>
      <c r="S45" s="414"/>
      <c r="T45" s="414"/>
      <c r="U45" s="415"/>
      <c r="V45" s="422"/>
      <c r="W45" s="423"/>
      <c r="X45" s="423"/>
      <c r="Y45" s="423"/>
      <c r="Z45" s="423"/>
      <c r="AA45" s="424"/>
      <c r="AB45" s="444"/>
      <c r="AC45" s="445"/>
      <c r="AD45" s="445"/>
      <c r="AE45" s="445"/>
      <c r="AF45" s="445"/>
      <c r="AG45" s="446"/>
      <c r="AH45" s="435"/>
      <c r="AI45" s="436"/>
      <c r="AJ45" s="436"/>
      <c r="AK45" s="436"/>
      <c r="AL45" s="436"/>
      <c r="AM45" s="4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row>
    <row r="46" spans="1:80" x14ac:dyDescent="0.25">
      <c r="A46" s="37"/>
      <c r="B46" s="37"/>
      <c r="C46" s="37"/>
      <c r="D46" s="37"/>
      <c r="E46" s="37"/>
      <c r="F46" s="37"/>
      <c r="G46" s="37"/>
      <c r="H46" s="37"/>
      <c r="I46" s="37"/>
      <c r="J46" s="451" t="s">
        <v>112</v>
      </c>
      <c r="K46" s="452"/>
      <c r="L46" s="452"/>
      <c r="M46" s="452"/>
      <c r="N46" s="452"/>
      <c r="O46" s="453"/>
      <c r="P46" s="451" t="s">
        <v>111</v>
      </c>
      <c r="Q46" s="452"/>
      <c r="R46" s="452"/>
      <c r="S46" s="452"/>
      <c r="T46" s="452"/>
      <c r="U46" s="453"/>
      <c r="V46" s="451" t="s">
        <v>110</v>
      </c>
      <c r="W46" s="452"/>
      <c r="X46" s="452"/>
      <c r="Y46" s="452"/>
      <c r="Z46" s="452"/>
      <c r="AA46" s="453"/>
      <c r="AB46" s="451" t="s">
        <v>109</v>
      </c>
      <c r="AC46" s="460"/>
      <c r="AD46" s="452"/>
      <c r="AE46" s="452"/>
      <c r="AF46" s="452"/>
      <c r="AG46" s="453"/>
      <c r="AH46" s="451" t="s">
        <v>108</v>
      </c>
      <c r="AI46" s="452"/>
      <c r="AJ46" s="452"/>
      <c r="AK46" s="452"/>
      <c r="AL46" s="452"/>
      <c r="AM46" s="453"/>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row>
    <row r="47" spans="1:80" x14ac:dyDescent="0.25">
      <c r="A47" s="37"/>
      <c r="B47" s="37"/>
      <c r="C47" s="37"/>
      <c r="D47" s="37"/>
      <c r="E47" s="37"/>
      <c r="F47" s="37"/>
      <c r="G47" s="37"/>
      <c r="H47" s="37"/>
      <c r="I47" s="37"/>
      <c r="J47" s="454"/>
      <c r="K47" s="455"/>
      <c r="L47" s="455"/>
      <c r="M47" s="455"/>
      <c r="N47" s="455"/>
      <c r="O47" s="456"/>
      <c r="P47" s="454"/>
      <c r="Q47" s="455"/>
      <c r="R47" s="455"/>
      <c r="S47" s="455"/>
      <c r="T47" s="455"/>
      <c r="U47" s="456"/>
      <c r="V47" s="454"/>
      <c r="W47" s="455"/>
      <c r="X47" s="455"/>
      <c r="Y47" s="455"/>
      <c r="Z47" s="455"/>
      <c r="AA47" s="456"/>
      <c r="AB47" s="454"/>
      <c r="AC47" s="455"/>
      <c r="AD47" s="455"/>
      <c r="AE47" s="455"/>
      <c r="AF47" s="455"/>
      <c r="AG47" s="456"/>
      <c r="AH47" s="454"/>
      <c r="AI47" s="455"/>
      <c r="AJ47" s="455"/>
      <c r="AK47" s="455"/>
      <c r="AL47" s="455"/>
      <c r="AM47" s="456"/>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row>
    <row r="48" spans="1:80" x14ac:dyDescent="0.25">
      <c r="A48" s="37"/>
      <c r="B48" s="37"/>
      <c r="C48" s="37"/>
      <c r="D48" s="37"/>
      <c r="E48" s="37"/>
      <c r="F48" s="37"/>
      <c r="G48" s="37"/>
      <c r="H48" s="37"/>
      <c r="I48" s="37"/>
      <c r="J48" s="454"/>
      <c r="K48" s="455"/>
      <c r="L48" s="455"/>
      <c r="M48" s="455"/>
      <c r="N48" s="455"/>
      <c r="O48" s="456"/>
      <c r="P48" s="454"/>
      <c r="Q48" s="455"/>
      <c r="R48" s="455"/>
      <c r="S48" s="455"/>
      <c r="T48" s="455"/>
      <c r="U48" s="456"/>
      <c r="V48" s="454"/>
      <c r="W48" s="455"/>
      <c r="X48" s="455"/>
      <c r="Y48" s="455"/>
      <c r="Z48" s="455"/>
      <c r="AA48" s="456"/>
      <c r="AB48" s="454"/>
      <c r="AC48" s="455"/>
      <c r="AD48" s="455"/>
      <c r="AE48" s="455"/>
      <c r="AF48" s="455"/>
      <c r="AG48" s="456"/>
      <c r="AH48" s="454"/>
      <c r="AI48" s="455"/>
      <c r="AJ48" s="455"/>
      <c r="AK48" s="455"/>
      <c r="AL48" s="455"/>
      <c r="AM48" s="456"/>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row>
    <row r="49" spans="1:80" x14ac:dyDescent="0.25">
      <c r="A49" s="37"/>
      <c r="B49" s="37"/>
      <c r="C49" s="37"/>
      <c r="D49" s="37"/>
      <c r="E49" s="37"/>
      <c r="F49" s="37"/>
      <c r="G49" s="37"/>
      <c r="H49" s="37"/>
      <c r="I49" s="37"/>
      <c r="J49" s="454"/>
      <c r="K49" s="455"/>
      <c r="L49" s="455"/>
      <c r="M49" s="455"/>
      <c r="N49" s="455"/>
      <c r="O49" s="456"/>
      <c r="P49" s="454"/>
      <c r="Q49" s="455"/>
      <c r="R49" s="455"/>
      <c r="S49" s="455"/>
      <c r="T49" s="455"/>
      <c r="U49" s="456"/>
      <c r="V49" s="454"/>
      <c r="W49" s="455"/>
      <c r="X49" s="455"/>
      <c r="Y49" s="455"/>
      <c r="Z49" s="455"/>
      <c r="AA49" s="456"/>
      <c r="AB49" s="454"/>
      <c r="AC49" s="455"/>
      <c r="AD49" s="455"/>
      <c r="AE49" s="455"/>
      <c r="AF49" s="455"/>
      <c r="AG49" s="456"/>
      <c r="AH49" s="454"/>
      <c r="AI49" s="455"/>
      <c r="AJ49" s="455"/>
      <c r="AK49" s="455"/>
      <c r="AL49" s="455"/>
      <c r="AM49" s="456"/>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row>
    <row r="50" spans="1:80" x14ac:dyDescent="0.25">
      <c r="A50" s="37"/>
      <c r="B50" s="37"/>
      <c r="C50" s="37"/>
      <c r="D50" s="37"/>
      <c r="E50" s="37"/>
      <c r="F50" s="37"/>
      <c r="G50" s="37"/>
      <c r="H50" s="37"/>
      <c r="I50" s="37"/>
      <c r="J50" s="454"/>
      <c r="K50" s="455"/>
      <c r="L50" s="455"/>
      <c r="M50" s="455"/>
      <c r="N50" s="455"/>
      <c r="O50" s="456"/>
      <c r="P50" s="454"/>
      <c r="Q50" s="455"/>
      <c r="R50" s="455"/>
      <c r="S50" s="455"/>
      <c r="T50" s="455"/>
      <c r="U50" s="456"/>
      <c r="V50" s="454"/>
      <c r="W50" s="455"/>
      <c r="X50" s="455"/>
      <c r="Y50" s="455"/>
      <c r="Z50" s="455"/>
      <c r="AA50" s="456"/>
      <c r="AB50" s="454"/>
      <c r="AC50" s="455"/>
      <c r="AD50" s="455"/>
      <c r="AE50" s="455"/>
      <c r="AF50" s="455"/>
      <c r="AG50" s="456"/>
      <c r="AH50" s="454"/>
      <c r="AI50" s="455"/>
      <c r="AJ50" s="455"/>
      <c r="AK50" s="455"/>
      <c r="AL50" s="455"/>
      <c r="AM50" s="456"/>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row>
    <row r="51" spans="1:80" ht="15.75" thickBot="1" x14ac:dyDescent="0.3">
      <c r="A51" s="37"/>
      <c r="B51" s="37"/>
      <c r="C51" s="37"/>
      <c r="D51" s="37"/>
      <c r="E51" s="37"/>
      <c r="F51" s="37"/>
      <c r="G51" s="37"/>
      <c r="H51" s="37"/>
      <c r="I51" s="37"/>
      <c r="J51" s="457"/>
      <c r="K51" s="458"/>
      <c r="L51" s="458"/>
      <c r="M51" s="458"/>
      <c r="N51" s="458"/>
      <c r="O51" s="459"/>
      <c r="P51" s="457"/>
      <c r="Q51" s="458"/>
      <c r="R51" s="458"/>
      <c r="S51" s="458"/>
      <c r="T51" s="458"/>
      <c r="U51" s="459"/>
      <c r="V51" s="457"/>
      <c r="W51" s="458"/>
      <c r="X51" s="458"/>
      <c r="Y51" s="458"/>
      <c r="Z51" s="458"/>
      <c r="AA51" s="459"/>
      <c r="AB51" s="457"/>
      <c r="AC51" s="458"/>
      <c r="AD51" s="458"/>
      <c r="AE51" s="458"/>
      <c r="AF51" s="458"/>
      <c r="AG51" s="459"/>
      <c r="AH51" s="457"/>
      <c r="AI51" s="458"/>
      <c r="AJ51" s="458"/>
      <c r="AK51" s="458"/>
      <c r="AL51" s="458"/>
      <c r="AM51" s="459"/>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row>
    <row r="52" spans="1:80" x14ac:dyDescent="0.2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row>
    <row r="53" spans="1:80" ht="15" customHeight="1" x14ac:dyDescent="0.25">
      <c r="A53" s="37"/>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row>
    <row r="54" spans="1:80" ht="15" customHeight="1" x14ac:dyDescent="0.25">
      <c r="A54" s="37"/>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row>
    <row r="55" spans="1:80" x14ac:dyDescent="0.2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row>
    <row r="56" spans="1:80" x14ac:dyDescent="0.2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row>
    <row r="57" spans="1:80" x14ac:dyDescent="0.2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row>
    <row r="58" spans="1:80" x14ac:dyDescent="0.2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row>
    <row r="59" spans="1:80" x14ac:dyDescent="0.2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row>
    <row r="60" spans="1:80" x14ac:dyDescent="0.2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row>
    <row r="61" spans="1:80" x14ac:dyDescent="0.2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row>
    <row r="62" spans="1:80" x14ac:dyDescent="0.2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row>
    <row r="63" spans="1:80" x14ac:dyDescent="0.2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row>
    <row r="64" spans="1:80" x14ac:dyDescent="0.2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row>
    <row r="65" spans="1:80" x14ac:dyDescent="0.2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row>
    <row r="66" spans="1:80" x14ac:dyDescent="0.2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row>
    <row r="67" spans="1:80" x14ac:dyDescent="0.2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row>
    <row r="68" spans="1:80" x14ac:dyDescent="0.2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row>
    <row r="69" spans="1:80" x14ac:dyDescent="0.2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row>
    <row r="70" spans="1:80" x14ac:dyDescent="0.2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row>
    <row r="71" spans="1:80" x14ac:dyDescent="0.2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row>
    <row r="72" spans="1:80" x14ac:dyDescent="0.2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row>
    <row r="73" spans="1:80" x14ac:dyDescent="0.2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row>
    <row r="74" spans="1:80" x14ac:dyDescent="0.2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row>
    <row r="75" spans="1:80" x14ac:dyDescent="0.2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row>
    <row r="76" spans="1:80" x14ac:dyDescent="0.2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row>
    <row r="77" spans="1:80" x14ac:dyDescent="0.2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row>
    <row r="78" spans="1:80" x14ac:dyDescent="0.2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row>
    <row r="79" spans="1:80" x14ac:dyDescent="0.2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row>
    <row r="80" spans="1:80" x14ac:dyDescent="0.2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row>
    <row r="81" spans="1:63" x14ac:dyDescent="0.2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row>
    <row r="82" spans="1:63" x14ac:dyDescent="0.2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row>
    <row r="83" spans="1:63" x14ac:dyDescent="0.2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row>
    <row r="84" spans="1:63" x14ac:dyDescent="0.2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row>
    <row r="85" spans="1:63" x14ac:dyDescent="0.2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row>
    <row r="86" spans="1:63" x14ac:dyDescent="0.2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row>
    <row r="87" spans="1:63" x14ac:dyDescent="0.2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row>
    <row r="88" spans="1:63" x14ac:dyDescent="0.2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row>
    <row r="89" spans="1:63" x14ac:dyDescent="0.2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row>
    <row r="90" spans="1:63" x14ac:dyDescent="0.2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row>
    <row r="91" spans="1:63" x14ac:dyDescent="0.2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row>
    <row r="92" spans="1:63" x14ac:dyDescent="0.2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row>
    <row r="93" spans="1:63" x14ac:dyDescent="0.2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row>
    <row r="94" spans="1:63" x14ac:dyDescent="0.2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row>
    <row r="95" spans="1:63" x14ac:dyDescent="0.2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row>
    <row r="96" spans="1:63" x14ac:dyDescent="0.2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row>
    <row r="97" spans="1:63" x14ac:dyDescent="0.2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row>
    <row r="98" spans="1:63" x14ac:dyDescent="0.2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row>
    <row r="99" spans="1:63" x14ac:dyDescent="0.2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row>
    <row r="100" spans="1:63" x14ac:dyDescent="0.2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row>
    <row r="101" spans="1:63" x14ac:dyDescent="0.2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row>
    <row r="102" spans="1:63" x14ac:dyDescent="0.2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row>
    <row r="103" spans="1:63" x14ac:dyDescent="0.2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row>
    <row r="104" spans="1:63" x14ac:dyDescent="0.2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row>
    <row r="105" spans="1:63" x14ac:dyDescent="0.2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row>
    <row r="106" spans="1:63" x14ac:dyDescent="0.2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row>
    <row r="107" spans="1:63" x14ac:dyDescent="0.2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row>
    <row r="108" spans="1:63" x14ac:dyDescent="0.2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row>
    <row r="109" spans="1:63" x14ac:dyDescent="0.2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row>
    <row r="110" spans="1:63" x14ac:dyDescent="0.2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row>
    <row r="111" spans="1:63" x14ac:dyDescent="0.2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row>
    <row r="112" spans="1:63" x14ac:dyDescent="0.2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row>
    <row r="113" spans="1:63" x14ac:dyDescent="0.2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row>
    <row r="114" spans="1:63" x14ac:dyDescent="0.2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row>
    <row r="115" spans="1:63" x14ac:dyDescent="0.2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row>
    <row r="116" spans="1:63" x14ac:dyDescent="0.2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row>
    <row r="117" spans="1:63" x14ac:dyDescent="0.2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row>
    <row r="118" spans="1:63" x14ac:dyDescent="0.2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row>
    <row r="119" spans="1:63" x14ac:dyDescent="0.2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row>
    <row r="120" spans="1:63" x14ac:dyDescent="0.2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row>
    <row r="121" spans="1:63" x14ac:dyDescent="0.2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row>
    <row r="122" spans="1:63" x14ac:dyDescent="0.2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row>
    <row r="123" spans="1:63" x14ac:dyDescent="0.2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row>
    <row r="124" spans="1:63" x14ac:dyDescent="0.2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row>
    <row r="125" spans="1:63" x14ac:dyDescent="0.2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row>
    <row r="126" spans="1:63" x14ac:dyDescent="0.2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row>
    <row r="127" spans="1:63" x14ac:dyDescent="0.2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row>
    <row r="128" spans="1:63" x14ac:dyDescent="0.2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row>
    <row r="129" spans="2:63" x14ac:dyDescent="0.2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row>
    <row r="130" spans="2:63" x14ac:dyDescent="0.2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row>
    <row r="131" spans="2:63" x14ac:dyDescent="0.2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row>
    <row r="132" spans="2:63" x14ac:dyDescent="0.2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row>
    <row r="133" spans="2:63" x14ac:dyDescent="0.2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row>
    <row r="134" spans="2:63" x14ac:dyDescent="0.2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row>
    <row r="135" spans="2:63" x14ac:dyDescent="0.2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row>
    <row r="136" spans="2:63" x14ac:dyDescent="0.2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row>
    <row r="137" spans="2:63" x14ac:dyDescent="0.25">
      <c r="B137" s="37"/>
      <c r="C137" s="37"/>
      <c r="D137" s="37"/>
      <c r="E137" s="37"/>
      <c r="F137" s="37"/>
      <c r="G137" s="37"/>
      <c r="H137" s="37"/>
      <c r="I137" s="37"/>
    </row>
    <row r="138" spans="2:63" x14ac:dyDescent="0.25">
      <c r="B138" s="37"/>
      <c r="C138" s="37"/>
      <c r="D138" s="37"/>
      <c r="E138" s="37"/>
      <c r="F138" s="37"/>
      <c r="G138" s="37"/>
      <c r="H138" s="37"/>
      <c r="I138" s="37"/>
    </row>
    <row r="139" spans="2:63" x14ac:dyDescent="0.25">
      <c r="B139" s="37"/>
      <c r="C139" s="37"/>
      <c r="D139" s="37"/>
      <c r="E139" s="37"/>
      <c r="F139" s="37"/>
      <c r="G139" s="37"/>
      <c r="H139" s="37"/>
      <c r="I139" s="37"/>
    </row>
    <row r="140" spans="2:63" x14ac:dyDescent="0.25">
      <c r="B140" s="37"/>
      <c r="C140" s="37"/>
      <c r="D140" s="37"/>
      <c r="E140" s="37"/>
      <c r="F140" s="37"/>
      <c r="G140" s="37"/>
      <c r="H140" s="37"/>
      <c r="I140" s="37"/>
    </row>
  </sheetData>
  <sheetProtection algorithmName="SHA-512" hashValue="v7pIIxlgqUiqGi2gr8hp/08/uXFeWh8w3ehdgJoxC1bxIV3QLumqKoBuLRCSd5Ef6+0S+ma1t8LlWk5xb9FUTQ==" saltValue="gHVkSAMFMR/M1JT+nVecjA=="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248"/>
  <sheetViews>
    <sheetView zoomScale="40" zoomScaleNormal="40" workbookViewId="0">
      <selection activeCell="AU74" sqref="AU74"/>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 min="47" max="59" width="11.42578125" style="37"/>
    <col min="60" max="16384" width="11.42578125" style="120"/>
  </cols>
  <sheetData>
    <row r="1" spans="1:46" x14ac:dyDescent="0.2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6" ht="18" customHeight="1" x14ac:dyDescent="0.25">
      <c r="A2" s="37"/>
      <c r="B2" s="530" t="s">
        <v>157</v>
      </c>
      <c r="C2" s="531"/>
      <c r="D2" s="531"/>
      <c r="E2" s="531"/>
      <c r="F2" s="531"/>
      <c r="G2" s="531"/>
      <c r="H2" s="531"/>
      <c r="I2" s="531"/>
      <c r="J2" s="450" t="s">
        <v>2</v>
      </c>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37"/>
      <c r="AO2" s="37"/>
      <c r="AP2" s="37"/>
      <c r="AQ2" s="37"/>
      <c r="AR2" s="37"/>
      <c r="AS2" s="37"/>
      <c r="AT2" s="37"/>
    </row>
    <row r="3" spans="1:46" ht="18.75" customHeight="1" x14ac:dyDescent="0.25">
      <c r="A3" s="37"/>
      <c r="B3" s="531"/>
      <c r="C3" s="531"/>
      <c r="D3" s="531"/>
      <c r="E3" s="531"/>
      <c r="F3" s="531"/>
      <c r="G3" s="531"/>
      <c r="H3" s="531"/>
      <c r="I3" s="531"/>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37"/>
      <c r="AO3" s="37"/>
      <c r="AP3" s="37"/>
      <c r="AQ3" s="37"/>
      <c r="AR3" s="37"/>
      <c r="AS3" s="37"/>
      <c r="AT3" s="37"/>
    </row>
    <row r="4" spans="1:46" ht="15" customHeight="1" x14ac:dyDescent="0.25">
      <c r="A4" s="37"/>
      <c r="B4" s="531"/>
      <c r="C4" s="531"/>
      <c r="D4" s="531"/>
      <c r="E4" s="531"/>
      <c r="F4" s="531"/>
      <c r="G4" s="531"/>
      <c r="H4" s="531"/>
      <c r="I4" s="531"/>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37"/>
      <c r="AO4" s="37"/>
      <c r="AP4" s="37"/>
      <c r="AQ4" s="37"/>
      <c r="AR4" s="37"/>
      <c r="AS4" s="37"/>
      <c r="AT4" s="37"/>
    </row>
    <row r="5" spans="1:46" ht="15.75" thickBot="1" x14ac:dyDescent="0.3">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row>
    <row r="6" spans="1:46" ht="15" customHeight="1" x14ac:dyDescent="0.25">
      <c r="A6" s="37"/>
      <c r="B6" s="463" t="s">
        <v>4</v>
      </c>
      <c r="C6" s="463"/>
      <c r="D6" s="464"/>
      <c r="E6" s="501" t="s">
        <v>116</v>
      </c>
      <c r="F6" s="502"/>
      <c r="G6" s="502"/>
      <c r="H6" s="502"/>
      <c r="I6" s="502"/>
      <c r="J6" s="95" t="str">
        <f>IF(AND('Mapa final'!$AB$10="Muy Alta",'Mapa final'!$AD$10="Leve"),CONCATENATE("R1C",'Mapa final'!$Q$10),"")</f>
        <v/>
      </c>
      <c r="K6" s="96" t="str">
        <f>IF(AND('Mapa final'!$AB$11="Muy Alta",'Mapa final'!$AD$11="Leve"),CONCATENATE("R1C",'Mapa final'!$Q$11),"")</f>
        <v/>
      </c>
      <c r="L6" s="96" t="str">
        <f>IF(AND('Mapa final'!$AB$15="Muy Alta",'Mapa final'!$AD$15="Leve"),CONCATENATE("R1C",'Mapa final'!$Q$15),"")</f>
        <v/>
      </c>
      <c r="M6" s="96" t="str">
        <f>IF(AND('Mapa final'!$AB$16="Muy Alta",'Mapa final'!$AD$16="Leve"),CONCATENATE("R1C",'Mapa final'!$Q$16),"")</f>
        <v/>
      </c>
      <c r="N6" s="96" t="e">
        <f>IF(AND('Mapa final'!#REF!="Muy Alta",'Mapa final'!#REF!="Leve"),CONCATENATE("R1C",'Mapa final'!#REF!),"")</f>
        <v>#REF!</v>
      </c>
      <c r="O6" s="97" t="e">
        <f>IF(AND('Mapa final'!#REF!="Muy Alta",'Mapa final'!#REF!="Leve"),CONCATENATE("R1C",'Mapa final'!#REF!),"")</f>
        <v>#REF!</v>
      </c>
      <c r="P6" s="96" t="str">
        <f>IF(AND('Mapa final'!$AB$13="Muy Alta",'Mapa final'!$AD$13="Menor"),CONCATENATE("R1C",'Mapa final'!$Q$13),"")</f>
        <v/>
      </c>
      <c r="Q6" s="96" t="str">
        <f>IF(AND('Mapa final'!$AB$14="Muy Alta",'Mapa final'!$AD$14="Menor"),CONCATENATE("R1C",'Mapa final'!$Q$14),"")</f>
        <v/>
      </c>
      <c r="R6" s="96" t="str">
        <f>IF(AND('Mapa final'!$AB$15="Muy Alta",'Mapa final'!$AD$15="Menor"),CONCATENATE("R1C",'Mapa final'!$Q$15),"")</f>
        <v/>
      </c>
      <c r="S6" s="96" t="e">
        <f>IF(AND('Mapa final'!#REF!="Muy Alta",'Mapa final'!#REF!="Menor"),CONCATENATE("R1C",'Mapa final'!#REF!),"")</f>
        <v>#REF!</v>
      </c>
      <c r="T6" s="96" t="e">
        <f>IF(AND('Mapa final'!#REF!="Muy Alta",'Mapa final'!#REF!="Menor"),CONCATENATE("R1C",'Mapa final'!#REF!),"")</f>
        <v>#REF!</v>
      </c>
      <c r="U6" s="97" t="e">
        <f>IF(AND('Mapa final'!#REF!="Muy Alta",'Mapa final'!#REF!="Menor"),CONCATENATE("R1C",'Mapa final'!#REF!),"")</f>
        <v>#REF!</v>
      </c>
      <c r="V6" s="95" t="str">
        <f>IF(AND('Mapa final'!$AB$13="Muy Alta",'Mapa final'!$AD$13="Moderado"),CONCATENATE("R1C",'Mapa final'!$Q$13),"")</f>
        <v/>
      </c>
      <c r="W6" s="96" t="str">
        <f>IF(AND('Mapa final'!$AB$14="Muy Alta",'Mapa final'!$AD$14="Moderado"),CONCATENATE("R1C",'Mapa final'!$Q$14),"")</f>
        <v/>
      </c>
      <c r="X6" s="96" t="str">
        <f>IF(AND('Mapa final'!$AB$15="Muy Alta",'Mapa final'!$AD$15="Moderado"),CONCATENATE("R1C",'Mapa final'!$Q$15),"")</f>
        <v/>
      </c>
      <c r="Y6" s="96" t="e">
        <f>IF(AND('Mapa final'!#REF!="Muy Alta",'Mapa final'!#REF!="Moderado"),CONCATENATE("R1C",'Mapa final'!#REF!),"")</f>
        <v>#REF!</v>
      </c>
      <c r="Z6" s="96" t="e">
        <f>IF(AND('Mapa final'!#REF!="Muy Alta",'Mapa final'!#REF!="Moderado"),CONCATENATE("R1C",'Mapa final'!#REF!),"")</f>
        <v>#REF!</v>
      </c>
      <c r="AA6" s="97" t="e">
        <f>IF(AND('Mapa final'!#REF!="Muy Alta",'Mapa final'!#REF!="Moderado"),CONCATENATE("R1C",'Mapa final'!#REF!),"")</f>
        <v>#REF!</v>
      </c>
      <c r="AB6" s="95" t="str">
        <f>IF(AND('Mapa final'!$AB$13="Muy Alta",'Mapa final'!$AD$13="Mayor"),CONCATENATE("R1C",'Mapa final'!$Q$13),"")</f>
        <v/>
      </c>
      <c r="AC6" s="96" t="str">
        <f>IF(AND('Mapa final'!$AB$14="Muy Alta",'Mapa final'!$AD$14="Mayor"),CONCATENATE("R1C",'Mapa final'!$Q$14),"")</f>
        <v/>
      </c>
      <c r="AD6" s="96" t="str">
        <f>IF(AND('Mapa final'!$AB$15="Muy Alta",'Mapa final'!$AD$15="Mayor"),CONCATENATE("R1C",'Mapa final'!$Q$15),"")</f>
        <v/>
      </c>
      <c r="AE6" s="96" t="e">
        <f>IF(AND('Mapa final'!#REF!="Muy Alta",'Mapa final'!#REF!="Mayor"),CONCATENATE("R1C",'Mapa final'!#REF!),"")</f>
        <v>#REF!</v>
      </c>
      <c r="AF6" s="96" t="e">
        <f>IF(AND('Mapa final'!#REF!="Muy Alta",'Mapa final'!#REF!="Mayor"),CONCATENATE("R1C",'Mapa final'!#REF!),"")</f>
        <v>#REF!</v>
      </c>
      <c r="AG6" s="97" t="e">
        <f>IF(AND('Mapa final'!#REF!="Muy Alta",'Mapa final'!#REF!="Mayor"),CONCATENATE("R1C",'Mapa final'!#REF!),"")</f>
        <v>#REF!</v>
      </c>
      <c r="AH6" s="111" t="str">
        <f>IF(AND('Mapa final'!$AB$13="Muy Alta",'Mapa final'!$AD$13="Catastrófico"),CONCATENATE("R1C",'Mapa final'!$Q$13),"")</f>
        <v/>
      </c>
      <c r="AI6" s="112" t="str">
        <f>IF(AND('Mapa final'!$AB$14="Muy Alta",'Mapa final'!$AD$14="Catastrófico"),CONCATENATE("R1C",'Mapa final'!$Q$14),"")</f>
        <v/>
      </c>
      <c r="AJ6" s="112" t="str">
        <f>IF(AND('Mapa final'!$AB$15="Muy Alta",'Mapa final'!$AD$15="Catastrófico"),CONCATENATE("R1C",'Mapa final'!$Q$15),"")</f>
        <v/>
      </c>
      <c r="AK6" s="112" t="e">
        <f>IF(AND('Mapa final'!#REF!="Muy Alta",'Mapa final'!#REF!="Catastrófico"),CONCATENATE("R1C",'Mapa final'!#REF!),"")</f>
        <v>#REF!</v>
      </c>
      <c r="AL6" s="112" t="e">
        <f>IF(AND('Mapa final'!#REF!="Muy Alta",'Mapa final'!#REF!="Catastrófico"),CONCATENATE("R1C",'Mapa final'!#REF!),"")</f>
        <v>#REF!</v>
      </c>
      <c r="AM6" s="113" t="e">
        <f>IF(AND('Mapa final'!#REF!="Muy Alta",'Mapa final'!#REF!="Catastrófico"),CONCATENATE("R1C",'Mapa final'!#REF!),"")</f>
        <v>#REF!</v>
      </c>
      <c r="AN6" s="37"/>
      <c r="AO6" s="521" t="s">
        <v>79</v>
      </c>
      <c r="AP6" s="522"/>
      <c r="AQ6" s="522"/>
      <c r="AR6" s="522"/>
      <c r="AS6" s="522"/>
      <c r="AT6" s="523"/>
    </row>
    <row r="7" spans="1:46" ht="15" customHeight="1" x14ac:dyDescent="0.25">
      <c r="A7" s="37"/>
      <c r="B7" s="463"/>
      <c r="C7" s="463"/>
      <c r="D7" s="464"/>
      <c r="E7" s="504"/>
      <c r="F7" s="505"/>
      <c r="G7" s="505"/>
      <c r="H7" s="505"/>
      <c r="I7" s="505"/>
      <c r="J7" s="98" t="str">
        <f>IF(AND('Mapa final'!$AB$16="Muy Alta",'Mapa final'!$AD$16="Leve"),CONCATENATE("R2C",'Mapa final'!$Q$16),"")</f>
        <v/>
      </c>
      <c r="K7" s="99" t="e">
        <f>IF(AND('Mapa final'!#REF!="Muy Alta",'Mapa final'!#REF!="Leve"),CONCATENATE("R2C",'Mapa final'!#REF!),"")</f>
        <v>#REF!</v>
      </c>
      <c r="L7" s="99" t="e">
        <f>IF(AND('Mapa final'!#REF!="Muy Alta",'Mapa final'!#REF!="Leve"),CONCATENATE("R2C",'Mapa final'!#REF!),"")</f>
        <v>#REF!</v>
      </c>
      <c r="M7" s="99" t="str">
        <f>IF(AND('Mapa final'!$AB$16="Muy Alta",'Mapa final'!$AD$16="Leve"),CONCATENATE("R1C",'Mapa final'!$Q$16),"")</f>
        <v/>
      </c>
      <c r="N7" s="99" t="e">
        <f>IF(AND('Mapa final'!#REF!="Muy Alta",'Mapa final'!#REF!="Leve"),CONCATENATE("R1C",'Mapa final'!#REF!),"")</f>
        <v>#REF!</v>
      </c>
      <c r="O7" s="100" t="e">
        <f>IF(AND('Mapa final'!#REF!="Muy Alta",'Mapa final'!#REF!="Leve"),CONCATENATE("R1C",'Mapa final'!#REF!),"")</f>
        <v>#REF!</v>
      </c>
      <c r="P7" s="99" t="str">
        <f>IF(AND('Mapa final'!$AB$16="Muy Alta",'Mapa final'!$AD$16="Menor"),CONCATENATE("R2C",'Mapa final'!$Q$16),"")</f>
        <v/>
      </c>
      <c r="Q7" s="99" t="e">
        <f>IF(AND('Mapa final'!#REF!="Muy Alta",'Mapa final'!#REF!="Menor"),CONCATENATE("R2C",'Mapa final'!#REF!),"")</f>
        <v>#REF!</v>
      </c>
      <c r="R7" s="99" t="e">
        <f>IF(AND('Mapa final'!#REF!="Muy Alta",'Mapa final'!#REF!="Menor"),CONCATENATE("R2C",'Mapa final'!#REF!),"")</f>
        <v>#REF!</v>
      </c>
      <c r="S7" s="99" t="e">
        <f>IF(AND('Mapa final'!#REF!="Muy Alta",'Mapa final'!#REF!="Menor"),CONCATENATE("R2C",'Mapa final'!#REF!),"")</f>
        <v>#REF!</v>
      </c>
      <c r="T7" s="99" t="e">
        <f>IF(AND('Mapa final'!#REF!="Muy Alta",'Mapa final'!#REF!="Menor"),CONCATENATE("R2C",'Mapa final'!#REF!),"")</f>
        <v>#REF!</v>
      </c>
      <c r="U7" s="100" t="e">
        <f>IF(AND('Mapa final'!#REF!="Muy Alta",'Mapa final'!#REF!="Menor"),CONCATENATE("R2C",'Mapa final'!#REF!),"")</f>
        <v>#REF!</v>
      </c>
      <c r="V7" s="98" t="str">
        <f>IF(AND('Mapa final'!$AB$16="Muy Alta",'Mapa final'!$AD$16="Moderado"),CONCATENATE("R2C",'Mapa final'!$Q$16),"")</f>
        <v/>
      </c>
      <c r="W7" s="99" t="e">
        <f>IF(AND('Mapa final'!#REF!="Muy Alta",'Mapa final'!#REF!="Moderado"),CONCATENATE("R2C",'Mapa final'!#REF!),"")</f>
        <v>#REF!</v>
      </c>
      <c r="X7" s="99" t="e">
        <f>IF(AND('Mapa final'!#REF!="Muy Alta",'Mapa final'!#REF!="Moderado"),CONCATENATE("R2C",'Mapa final'!#REF!),"")</f>
        <v>#REF!</v>
      </c>
      <c r="Y7" s="99" t="e">
        <f>IF(AND('Mapa final'!#REF!="Muy Alta",'Mapa final'!#REF!="Moderado"),CONCATENATE("R2C",'Mapa final'!#REF!),"")</f>
        <v>#REF!</v>
      </c>
      <c r="Z7" s="99" t="e">
        <f>IF(AND('Mapa final'!#REF!="Muy Alta",'Mapa final'!#REF!="Moderado"),CONCATENATE("R2C",'Mapa final'!#REF!),"")</f>
        <v>#REF!</v>
      </c>
      <c r="AA7" s="100" t="e">
        <f>IF(AND('Mapa final'!#REF!="Muy Alta",'Mapa final'!#REF!="Moderado"),CONCATENATE("R2C",'Mapa final'!#REF!),"")</f>
        <v>#REF!</v>
      </c>
      <c r="AB7" s="98" t="str">
        <f>IF(AND('Mapa final'!$AB$16="Muy Alta",'Mapa final'!$AD$16="Mayor"),CONCATENATE("R2C",'Mapa final'!$Q$16),"")</f>
        <v/>
      </c>
      <c r="AC7" s="99" t="e">
        <f>IF(AND('Mapa final'!#REF!="Muy Alta",'Mapa final'!#REF!="Mayor"),CONCATENATE("R2C",'Mapa final'!#REF!),"")</f>
        <v>#REF!</v>
      </c>
      <c r="AD7" s="99" t="e">
        <f>IF(AND('Mapa final'!#REF!="Muy Alta",'Mapa final'!#REF!="Mayor"),CONCATENATE("R2C",'Mapa final'!#REF!),"")</f>
        <v>#REF!</v>
      </c>
      <c r="AE7" s="99" t="e">
        <f>IF(AND('Mapa final'!#REF!="Muy Alta",'Mapa final'!#REF!="Mayor"),CONCATENATE("R2C",'Mapa final'!#REF!),"")</f>
        <v>#REF!</v>
      </c>
      <c r="AF7" s="99" t="e">
        <f>IF(AND('Mapa final'!#REF!="Muy Alta",'Mapa final'!#REF!="Mayor"),CONCATENATE("R2C",'Mapa final'!#REF!),"")</f>
        <v>#REF!</v>
      </c>
      <c r="AG7" s="100" t="e">
        <f>IF(AND('Mapa final'!#REF!="Muy Alta",'Mapa final'!#REF!="Mayor"),CONCATENATE("R2C",'Mapa final'!#REF!),"")</f>
        <v>#REF!</v>
      </c>
      <c r="AH7" s="114" t="str">
        <f>IF(AND('Mapa final'!$AB$16="Muy Alta",'Mapa final'!$AD$16="Catastrófico"),CONCATENATE("R2C",'Mapa final'!$Q$16),"")</f>
        <v/>
      </c>
      <c r="AI7" s="115" t="e">
        <f>IF(AND('Mapa final'!#REF!="Muy Alta",'Mapa final'!#REF!="Catastrófico"),CONCATENATE("R2C",'Mapa final'!#REF!),"")</f>
        <v>#REF!</v>
      </c>
      <c r="AJ7" s="115" t="e">
        <f>IF(AND('Mapa final'!#REF!="Muy Alta",'Mapa final'!#REF!="Catastrófico"),CONCATENATE("R2C",'Mapa final'!#REF!),"")</f>
        <v>#REF!</v>
      </c>
      <c r="AK7" s="115" t="e">
        <f>IF(AND('Mapa final'!#REF!="Muy Alta",'Mapa final'!#REF!="Catastrófico"),CONCATENATE("R2C",'Mapa final'!#REF!),"")</f>
        <v>#REF!</v>
      </c>
      <c r="AL7" s="115" t="e">
        <f>IF(AND('Mapa final'!#REF!="Muy Alta",'Mapa final'!#REF!="Catastrófico"),CONCATENATE("R2C",'Mapa final'!#REF!),"")</f>
        <v>#REF!</v>
      </c>
      <c r="AM7" s="116" t="e">
        <f>IF(AND('Mapa final'!#REF!="Muy Alta",'Mapa final'!#REF!="Catastrófico"),CONCATENATE("R2C",'Mapa final'!#REF!),"")</f>
        <v>#REF!</v>
      </c>
      <c r="AN7" s="37"/>
      <c r="AO7" s="524"/>
      <c r="AP7" s="525"/>
      <c r="AQ7" s="525"/>
      <c r="AR7" s="525"/>
      <c r="AS7" s="525"/>
      <c r="AT7" s="526"/>
    </row>
    <row r="8" spans="1:46" ht="15" customHeight="1" x14ac:dyDescent="0.25">
      <c r="A8" s="37"/>
      <c r="B8" s="463"/>
      <c r="C8" s="463"/>
      <c r="D8" s="464"/>
      <c r="E8" s="504"/>
      <c r="F8" s="505"/>
      <c r="G8" s="505"/>
      <c r="H8" s="505"/>
      <c r="I8" s="505"/>
      <c r="J8" s="98" t="str">
        <f>IF(AND('Mapa final'!$AB$17="Muy Alta",'Mapa final'!$AD$17="Leve"),CONCATENATE("R3C",'Mapa final'!$Q$17),"")</f>
        <v/>
      </c>
      <c r="K8" s="99" t="e">
        <f>IF(AND('Mapa final'!#REF!="Muy Alta",'Mapa final'!#REF!="Leve"),CONCATENATE("R3C",'Mapa final'!#REF!),"")</f>
        <v>#REF!</v>
      </c>
      <c r="L8" s="99" t="e">
        <f>IF(AND('Mapa final'!#REF!="Muy Alta",'Mapa final'!#REF!="Leve"),CONCATENATE("R3C",'Mapa final'!#REF!),"")</f>
        <v>#REF!</v>
      </c>
      <c r="M8" s="99" t="str">
        <f>IF(AND('Mapa final'!$AB$16="Muy Alta",'Mapa final'!$AD$16="Leve"),CONCATENATE("R1C",'Mapa final'!$Q$16),"")</f>
        <v/>
      </c>
      <c r="N8" s="99" t="e">
        <f>IF(AND('Mapa final'!#REF!="Muy Alta",'Mapa final'!#REF!="Leve"),CONCATENATE("R1C",'Mapa final'!#REF!),"")</f>
        <v>#REF!</v>
      </c>
      <c r="O8" s="100" t="e">
        <f>IF(AND('Mapa final'!#REF!="Muy Alta",'Mapa final'!#REF!="Leve"),CONCATENATE("R1C",'Mapa final'!#REF!),"")</f>
        <v>#REF!</v>
      </c>
      <c r="P8" s="99" t="str">
        <f>IF(AND('Mapa final'!$AB$17="Muy Alta",'Mapa final'!$AD$17="Menor"),CONCATENATE("R3C",'Mapa final'!$Q$17),"")</f>
        <v/>
      </c>
      <c r="Q8" s="99" t="e">
        <f>IF(AND('Mapa final'!#REF!="Muy Alta",'Mapa final'!#REF!="Menor"),CONCATENATE("R3C",'Mapa final'!#REF!),"")</f>
        <v>#REF!</v>
      </c>
      <c r="R8" s="99" t="e">
        <f>IF(AND('Mapa final'!#REF!="Muy Alta",'Mapa final'!#REF!="Menor"),CONCATENATE("R3C",'Mapa final'!#REF!),"")</f>
        <v>#REF!</v>
      </c>
      <c r="S8" s="99" t="e">
        <f>IF(AND('Mapa final'!#REF!="Muy Alta",'Mapa final'!#REF!="Menor"),CONCATENATE("R3C",'Mapa final'!#REF!),"")</f>
        <v>#REF!</v>
      </c>
      <c r="T8" s="99" t="e">
        <f>IF(AND('Mapa final'!#REF!="Muy Alta",'Mapa final'!#REF!="Menor"),CONCATENATE("R3C",'Mapa final'!#REF!),"")</f>
        <v>#REF!</v>
      </c>
      <c r="U8" s="100" t="e">
        <f>IF(AND('Mapa final'!#REF!="Muy Alta",'Mapa final'!#REF!="Menor"),CONCATENATE("R3C",'Mapa final'!#REF!),"")</f>
        <v>#REF!</v>
      </c>
      <c r="V8" s="98" t="str">
        <f>IF(AND('Mapa final'!$AB$17="Muy Alta",'Mapa final'!$AD$17="Moderado"),CONCATENATE("R3C",'Mapa final'!$Q$17),"")</f>
        <v/>
      </c>
      <c r="W8" s="99" t="e">
        <f>IF(AND('Mapa final'!#REF!="Muy Alta",'Mapa final'!#REF!="Moderado"),CONCATENATE("R3C",'Mapa final'!#REF!),"")</f>
        <v>#REF!</v>
      </c>
      <c r="X8" s="99" t="e">
        <f>IF(AND('Mapa final'!#REF!="Muy Alta",'Mapa final'!#REF!="Moderado"),CONCATENATE("R3C",'Mapa final'!#REF!),"")</f>
        <v>#REF!</v>
      </c>
      <c r="Y8" s="99" t="e">
        <f>IF(AND('Mapa final'!#REF!="Muy Alta",'Mapa final'!#REF!="Moderado"),CONCATENATE("R3C",'Mapa final'!#REF!),"")</f>
        <v>#REF!</v>
      </c>
      <c r="Z8" s="99" t="e">
        <f>IF(AND('Mapa final'!#REF!="Muy Alta",'Mapa final'!#REF!="Moderado"),CONCATENATE("R3C",'Mapa final'!#REF!),"")</f>
        <v>#REF!</v>
      </c>
      <c r="AA8" s="100" t="e">
        <f>IF(AND('Mapa final'!#REF!="Muy Alta",'Mapa final'!#REF!="Moderado"),CONCATENATE("R3C",'Mapa final'!#REF!),"")</f>
        <v>#REF!</v>
      </c>
      <c r="AB8" s="98" t="str">
        <f>IF(AND('Mapa final'!$AB$17="Muy Alta",'Mapa final'!$AD$17="Mayor"),CONCATENATE("R3C",'Mapa final'!$Q$17),"")</f>
        <v/>
      </c>
      <c r="AC8" s="99" t="e">
        <f>IF(AND('Mapa final'!#REF!="Muy Alta",'Mapa final'!#REF!="Mayor"),CONCATENATE("R3C",'Mapa final'!#REF!),"")</f>
        <v>#REF!</v>
      </c>
      <c r="AD8" s="99" t="e">
        <f>IF(AND('Mapa final'!#REF!="Muy Alta",'Mapa final'!#REF!="Mayor"),CONCATENATE("R3C",'Mapa final'!#REF!),"")</f>
        <v>#REF!</v>
      </c>
      <c r="AE8" s="99" t="e">
        <f>IF(AND('Mapa final'!#REF!="Muy Alta",'Mapa final'!#REF!="Mayor"),CONCATENATE("R3C",'Mapa final'!#REF!),"")</f>
        <v>#REF!</v>
      </c>
      <c r="AF8" s="99" t="e">
        <f>IF(AND('Mapa final'!#REF!="Muy Alta",'Mapa final'!#REF!="Mayor"),CONCATENATE("R3C",'Mapa final'!#REF!),"")</f>
        <v>#REF!</v>
      </c>
      <c r="AG8" s="100" t="e">
        <f>IF(AND('Mapa final'!#REF!="Muy Alta",'Mapa final'!#REF!="Mayor"),CONCATENATE("R3C",'Mapa final'!#REF!),"")</f>
        <v>#REF!</v>
      </c>
      <c r="AH8" s="114" t="str">
        <f>IF(AND('Mapa final'!$AB$17="Muy Alta",'Mapa final'!$AD$17="Catastrófico"),CONCATENATE("R3C",'Mapa final'!$Q$17),"")</f>
        <v/>
      </c>
      <c r="AI8" s="115" t="e">
        <f>IF(AND('Mapa final'!#REF!="Muy Alta",'Mapa final'!#REF!="Catastrófico"),CONCATENATE("R3C",'Mapa final'!#REF!),"")</f>
        <v>#REF!</v>
      </c>
      <c r="AJ8" s="115" t="e">
        <f>IF(AND('Mapa final'!#REF!="Muy Alta",'Mapa final'!#REF!="Catastrófico"),CONCATENATE("R3C",'Mapa final'!#REF!),"")</f>
        <v>#REF!</v>
      </c>
      <c r="AK8" s="115" t="e">
        <f>IF(AND('Mapa final'!#REF!="Muy Alta",'Mapa final'!#REF!="Catastrófico"),CONCATENATE("R3C",'Mapa final'!#REF!),"")</f>
        <v>#REF!</v>
      </c>
      <c r="AL8" s="115" t="e">
        <f>IF(AND('Mapa final'!#REF!="Muy Alta",'Mapa final'!#REF!="Catastrófico"),CONCATENATE("R3C",'Mapa final'!#REF!),"")</f>
        <v>#REF!</v>
      </c>
      <c r="AM8" s="116" t="e">
        <f>IF(AND('Mapa final'!#REF!="Muy Alta",'Mapa final'!#REF!="Catastrófico"),CONCATENATE("R3C",'Mapa final'!#REF!),"")</f>
        <v>#REF!</v>
      </c>
      <c r="AN8" s="37"/>
      <c r="AO8" s="524"/>
      <c r="AP8" s="525"/>
      <c r="AQ8" s="525"/>
      <c r="AR8" s="525"/>
      <c r="AS8" s="525"/>
      <c r="AT8" s="526"/>
    </row>
    <row r="9" spans="1:46" ht="15" customHeight="1" x14ac:dyDescent="0.25">
      <c r="A9" s="37"/>
      <c r="B9" s="463"/>
      <c r="C9" s="463"/>
      <c r="D9" s="464"/>
      <c r="E9" s="504"/>
      <c r="F9" s="505"/>
      <c r="G9" s="505"/>
      <c r="H9" s="505"/>
      <c r="I9" s="505"/>
      <c r="J9" s="98" t="str">
        <f>IF(AND('Mapa final'!$AB$18="Muy Alta",'Mapa final'!$AD$18="Leve"),CONCATENATE("R4C",'Mapa final'!$Q$18),"")</f>
        <v/>
      </c>
      <c r="K9" s="99" t="e">
        <f>IF(AND('Mapa final'!#REF!="Muy Alta",'Mapa final'!#REF!="Leve"),CONCATENATE("R4C",'Mapa final'!#REF!),"")</f>
        <v>#REF!</v>
      </c>
      <c r="L9" s="99" t="e">
        <f>IF(AND('Mapa final'!#REF!="Muy Alta",'Mapa final'!#REF!="Leve"),CONCATENATE("R4C",'Mapa final'!#REF!),"")</f>
        <v>#REF!</v>
      </c>
      <c r="M9" s="99" t="str">
        <f>IF(AND('Mapa final'!$AB$16="Muy Alta",'Mapa final'!$AD$16="Leve"),CONCATENATE("R1C",'Mapa final'!$Q$16),"")</f>
        <v/>
      </c>
      <c r="N9" s="99" t="e">
        <f>IF(AND('Mapa final'!#REF!="Muy Alta",'Mapa final'!#REF!="Leve"),CONCATENATE("R1C",'Mapa final'!#REF!),"")</f>
        <v>#REF!</v>
      </c>
      <c r="O9" s="100" t="e">
        <f>IF(AND('Mapa final'!#REF!="Muy Alta",'Mapa final'!#REF!="Leve"),CONCATENATE("R1C",'Mapa final'!#REF!),"")</f>
        <v>#REF!</v>
      </c>
      <c r="P9" s="99" t="str">
        <f>IF(AND('Mapa final'!$AB$18="Muy Alta",'Mapa final'!$AD$18="Menor"),CONCATENATE("R4C",'Mapa final'!$Q$18),"")</f>
        <v/>
      </c>
      <c r="Q9" s="99" t="e">
        <f>IF(AND('Mapa final'!#REF!="Muy Alta",'Mapa final'!#REF!="Menor"),CONCATENATE("R4C",'Mapa final'!#REF!),"")</f>
        <v>#REF!</v>
      </c>
      <c r="R9" s="99" t="e">
        <f>IF(AND('Mapa final'!#REF!="Muy Alta",'Mapa final'!#REF!="Menor"),CONCATENATE("R4C",'Mapa final'!#REF!),"")</f>
        <v>#REF!</v>
      </c>
      <c r="S9" s="99" t="e">
        <f>IF(AND('Mapa final'!#REF!="Muy Alta",'Mapa final'!#REF!="Menor"),CONCATENATE("R4C",'Mapa final'!#REF!),"")</f>
        <v>#REF!</v>
      </c>
      <c r="T9" s="99" t="e">
        <f>IF(AND('Mapa final'!#REF!="Muy Alta",'Mapa final'!#REF!="Menor"),CONCATENATE("R4C",'Mapa final'!#REF!),"")</f>
        <v>#REF!</v>
      </c>
      <c r="U9" s="100" t="e">
        <f>IF(AND('Mapa final'!#REF!="Muy Alta",'Mapa final'!#REF!="Menor"),CONCATENATE("R4C",'Mapa final'!#REF!),"")</f>
        <v>#REF!</v>
      </c>
      <c r="V9" s="98" t="str">
        <f>IF(AND('Mapa final'!$AB$18="Muy Alta",'Mapa final'!$AD$18="Moderado"),CONCATENATE("R4C",'Mapa final'!$Q$18),"")</f>
        <v/>
      </c>
      <c r="W9" s="99" t="e">
        <f>IF(AND('Mapa final'!#REF!="Muy Alta",'Mapa final'!#REF!="Moderado"),CONCATENATE("R4C",'Mapa final'!#REF!),"")</f>
        <v>#REF!</v>
      </c>
      <c r="X9" s="99" t="e">
        <f>IF(AND('Mapa final'!#REF!="Muy Alta",'Mapa final'!#REF!="Moderado"),CONCATENATE("R4C",'Mapa final'!#REF!),"")</f>
        <v>#REF!</v>
      </c>
      <c r="Y9" s="99" t="e">
        <f>IF(AND('Mapa final'!#REF!="Muy Alta",'Mapa final'!#REF!="Moderado"),CONCATENATE("R4C",'Mapa final'!#REF!),"")</f>
        <v>#REF!</v>
      </c>
      <c r="Z9" s="99" t="e">
        <f>IF(AND('Mapa final'!#REF!="Muy Alta",'Mapa final'!#REF!="Moderado"),CONCATENATE("R4C",'Mapa final'!#REF!),"")</f>
        <v>#REF!</v>
      </c>
      <c r="AA9" s="100" t="e">
        <f>IF(AND('Mapa final'!#REF!="Muy Alta",'Mapa final'!#REF!="Moderado"),CONCATENATE("R4C",'Mapa final'!#REF!),"")</f>
        <v>#REF!</v>
      </c>
      <c r="AB9" s="98" t="str">
        <f>IF(AND('Mapa final'!$AB$18="Muy Alta",'Mapa final'!$AD$18="Mayor"),CONCATENATE("R4C",'Mapa final'!$Q$18),"")</f>
        <v/>
      </c>
      <c r="AC9" s="99" t="e">
        <f>IF(AND('Mapa final'!#REF!="Muy Alta",'Mapa final'!#REF!="Mayor"),CONCATENATE("R4C",'Mapa final'!#REF!),"")</f>
        <v>#REF!</v>
      </c>
      <c r="AD9" s="99" t="e">
        <f>IF(AND('Mapa final'!#REF!="Muy Alta",'Mapa final'!#REF!="Mayor"),CONCATENATE("R4C",'Mapa final'!#REF!),"")</f>
        <v>#REF!</v>
      </c>
      <c r="AE9" s="99" t="e">
        <f>IF(AND('Mapa final'!#REF!="Muy Alta",'Mapa final'!#REF!="Mayor"),CONCATENATE("R4C",'Mapa final'!#REF!),"")</f>
        <v>#REF!</v>
      </c>
      <c r="AF9" s="99" t="e">
        <f>IF(AND('Mapa final'!#REF!="Muy Alta",'Mapa final'!#REF!="Mayor"),CONCATENATE("R4C",'Mapa final'!#REF!),"")</f>
        <v>#REF!</v>
      </c>
      <c r="AG9" s="100" t="e">
        <f>IF(AND('Mapa final'!#REF!="Muy Alta",'Mapa final'!#REF!="Mayor"),CONCATENATE("R4C",'Mapa final'!#REF!),"")</f>
        <v>#REF!</v>
      </c>
      <c r="AH9" s="114" t="str">
        <f>IF(AND('Mapa final'!$AB$18="Muy Alta",'Mapa final'!$AD$18="Catastrófico"),CONCATENATE("R4C",'Mapa final'!$Q$18),"")</f>
        <v/>
      </c>
      <c r="AI9" s="115" t="e">
        <f>IF(AND('Mapa final'!#REF!="Muy Alta",'Mapa final'!#REF!="Catastrófico"),CONCATENATE("R4C",'Mapa final'!#REF!),"")</f>
        <v>#REF!</v>
      </c>
      <c r="AJ9" s="115" t="e">
        <f>IF(AND('Mapa final'!#REF!="Muy Alta",'Mapa final'!#REF!="Catastrófico"),CONCATENATE("R4C",'Mapa final'!#REF!),"")</f>
        <v>#REF!</v>
      </c>
      <c r="AK9" s="115" t="e">
        <f>IF(AND('Mapa final'!#REF!="Muy Alta",'Mapa final'!#REF!="Catastrófico"),CONCATENATE("R4C",'Mapa final'!#REF!),"")</f>
        <v>#REF!</v>
      </c>
      <c r="AL9" s="115" t="e">
        <f>IF(AND('Mapa final'!#REF!="Muy Alta",'Mapa final'!#REF!="Catastrófico"),CONCATENATE("R4C",'Mapa final'!#REF!),"")</f>
        <v>#REF!</v>
      </c>
      <c r="AM9" s="116" t="e">
        <f>IF(AND('Mapa final'!#REF!="Muy Alta",'Mapa final'!#REF!="Catastrófico"),CONCATENATE("R4C",'Mapa final'!#REF!),"")</f>
        <v>#REF!</v>
      </c>
      <c r="AN9" s="37"/>
      <c r="AO9" s="524"/>
      <c r="AP9" s="525"/>
      <c r="AQ9" s="525"/>
      <c r="AR9" s="525"/>
      <c r="AS9" s="525"/>
      <c r="AT9" s="526"/>
    </row>
    <row r="10" spans="1:46" ht="15" customHeight="1" x14ac:dyDescent="0.25">
      <c r="A10" s="37"/>
      <c r="B10" s="463"/>
      <c r="C10" s="463"/>
      <c r="D10" s="464"/>
      <c r="E10" s="504"/>
      <c r="F10" s="505"/>
      <c r="G10" s="505"/>
      <c r="H10" s="505"/>
      <c r="I10" s="505"/>
      <c r="J10" s="98" t="str">
        <f>IF(AND('Mapa final'!$AB$19="Muy Alta",'Mapa final'!$AD$19="Leve"),CONCATENATE("R5C",'Mapa final'!$Q$19),"")</f>
        <v/>
      </c>
      <c r="K10" s="99" t="str">
        <f>IF(AND('Mapa final'!$AB$20="Muy Alta",'Mapa final'!$AD$20="Leve"),CONCATENATE("R5C",'Mapa final'!$Q$20),"")</f>
        <v/>
      </c>
      <c r="L10" s="99" t="e">
        <f>IF(AND('Mapa final'!#REF!="Muy Alta",'Mapa final'!#REF!="Leve"),CONCATENATE("R5C",'Mapa final'!#REF!),"")</f>
        <v>#REF!</v>
      </c>
      <c r="M10" s="99" t="str">
        <f>IF(AND('Mapa final'!$AB$16="Muy Alta",'Mapa final'!$AD$16="Leve"),CONCATENATE("R1C",'Mapa final'!$Q$16),"")</f>
        <v/>
      </c>
      <c r="N10" s="99" t="e">
        <f>IF(AND('Mapa final'!#REF!="Muy Alta",'Mapa final'!#REF!="Leve"),CONCATENATE("R1C",'Mapa final'!#REF!),"")</f>
        <v>#REF!</v>
      </c>
      <c r="O10" s="100" t="e">
        <f>IF(AND('Mapa final'!#REF!="Muy Alta",'Mapa final'!#REF!="Leve"),CONCATENATE("R1C",'Mapa final'!#REF!),"")</f>
        <v>#REF!</v>
      </c>
      <c r="P10" s="99" t="str">
        <f>IF(AND('Mapa final'!$AB$19="Muy Alta",'Mapa final'!$AD$19="Menor"),CONCATENATE("R5C",'Mapa final'!$Q$19),"")</f>
        <v/>
      </c>
      <c r="Q10" s="99" t="str">
        <f>IF(AND('Mapa final'!$AB$20="Muy Alta",'Mapa final'!$AD$20="Menor"),CONCATENATE("R5C",'Mapa final'!$Q$20),"")</f>
        <v/>
      </c>
      <c r="R10" s="99" t="e">
        <f>IF(AND('Mapa final'!#REF!="Muy Alta",'Mapa final'!#REF!="Menor"),CONCATENATE("R5C",'Mapa final'!#REF!),"")</f>
        <v>#REF!</v>
      </c>
      <c r="S10" s="99" t="e">
        <f>IF(AND('Mapa final'!#REF!="Muy Alta",'Mapa final'!#REF!="Menor"),CONCATENATE("R5C",'Mapa final'!#REF!),"")</f>
        <v>#REF!</v>
      </c>
      <c r="T10" s="99" t="e">
        <f>IF(AND('Mapa final'!#REF!="Muy Alta",'Mapa final'!#REF!="Menor"),CONCATENATE("R5C",'Mapa final'!#REF!),"")</f>
        <v>#REF!</v>
      </c>
      <c r="U10" s="100" t="e">
        <f>IF(AND('Mapa final'!#REF!="Muy Alta",'Mapa final'!#REF!="Menor"),CONCATENATE("R5C",'Mapa final'!#REF!),"")</f>
        <v>#REF!</v>
      </c>
      <c r="V10" s="98" t="str">
        <f>IF(AND('Mapa final'!$AB$19="Muy Alta",'Mapa final'!$AD$19="Moderado"),CONCATENATE("R5C",'Mapa final'!$Q$19),"")</f>
        <v/>
      </c>
      <c r="W10" s="99" t="str">
        <f>IF(AND('Mapa final'!$AB$20="Muy Alta",'Mapa final'!$AD$20="Moderado"),CONCATENATE("R5C",'Mapa final'!$Q$20),"")</f>
        <v/>
      </c>
      <c r="X10" s="99" t="e">
        <f>IF(AND('Mapa final'!#REF!="Muy Alta",'Mapa final'!#REF!="Moderado"),CONCATENATE("R5C",'Mapa final'!#REF!),"")</f>
        <v>#REF!</v>
      </c>
      <c r="Y10" s="99" t="e">
        <f>IF(AND('Mapa final'!#REF!="Muy Alta",'Mapa final'!#REF!="Moderado"),CONCATENATE("R5C",'Mapa final'!#REF!),"")</f>
        <v>#REF!</v>
      </c>
      <c r="Z10" s="99" t="e">
        <f>IF(AND('Mapa final'!#REF!="Muy Alta",'Mapa final'!#REF!="Moderado"),CONCATENATE("R5C",'Mapa final'!#REF!),"")</f>
        <v>#REF!</v>
      </c>
      <c r="AA10" s="100" t="e">
        <f>IF(AND('Mapa final'!#REF!="Muy Alta",'Mapa final'!#REF!="Moderado"),CONCATENATE("R5C",'Mapa final'!#REF!),"")</f>
        <v>#REF!</v>
      </c>
      <c r="AB10" s="98" t="str">
        <f>IF(AND('Mapa final'!$AB$19="Muy Alta",'Mapa final'!$AD$19="Mayor"),CONCATENATE("R5C",'Mapa final'!$Q$19),"")</f>
        <v/>
      </c>
      <c r="AC10" s="99" t="str">
        <f>IF(AND('Mapa final'!$AB$20="Muy Alta",'Mapa final'!$AD$20="Mayor"),CONCATENATE("R5C",'Mapa final'!$Q$20),"")</f>
        <v/>
      </c>
      <c r="AD10" s="99" t="e">
        <f>IF(AND('Mapa final'!#REF!="Muy Alta",'Mapa final'!#REF!="Mayor"),CONCATENATE("R5C",'Mapa final'!#REF!),"")</f>
        <v>#REF!</v>
      </c>
      <c r="AE10" s="99" t="e">
        <f>IF(AND('Mapa final'!#REF!="Muy Alta",'Mapa final'!#REF!="Mayor"),CONCATENATE("R5C",'Mapa final'!#REF!),"")</f>
        <v>#REF!</v>
      </c>
      <c r="AF10" s="99" t="e">
        <f>IF(AND('Mapa final'!#REF!="Muy Alta",'Mapa final'!#REF!="Mayor"),CONCATENATE("R5C",'Mapa final'!#REF!),"")</f>
        <v>#REF!</v>
      </c>
      <c r="AG10" s="100" t="e">
        <f>IF(AND('Mapa final'!#REF!="Muy Alta",'Mapa final'!#REF!="Mayor"),CONCATENATE("R5C",'Mapa final'!#REF!),"")</f>
        <v>#REF!</v>
      </c>
      <c r="AH10" s="114" t="str">
        <f>IF(AND('Mapa final'!$AB$19="Muy Alta",'Mapa final'!$AD$19="Catastrófico"),CONCATENATE("R5C",'Mapa final'!$Q$19),"")</f>
        <v/>
      </c>
      <c r="AI10" s="115" t="str">
        <f>IF(AND('Mapa final'!$AB$20="Muy Alta",'Mapa final'!$AD$20="Catastrófico"),CONCATENATE("R5C",'Mapa final'!$Q$20),"")</f>
        <v/>
      </c>
      <c r="AJ10" s="115" t="e">
        <f>IF(AND('Mapa final'!#REF!="Muy Alta",'Mapa final'!#REF!="Catastrófico"),CONCATENATE("R5C",'Mapa final'!#REF!),"")</f>
        <v>#REF!</v>
      </c>
      <c r="AK10" s="115" t="e">
        <f>IF(AND('Mapa final'!#REF!="Muy Alta",'Mapa final'!#REF!="Catastrófico"),CONCATENATE("R5C",'Mapa final'!#REF!),"")</f>
        <v>#REF!</v>
      </c>
      <c r="AL10" s="115" t="e">
        <f>IF(AND('Mapa final'!#REF!="Muy Alta",'Mapa final'!#REF!="Catastrófico"),CONCATENATE("R5C",'Mapa final'!#REF!),"")</f>
        <v>#REF!</v>
      </c>
      <c r="AM10" s="116" t="e">
        <f>IF(AND('Mapa final'!#REF!="Muy Alta",'Mapa final'!#REF!="Catastrófico"),CONCATENATE("R5C",'Mapa final'!#REF!),"")</f>
        <v>#REF!</v>
      </c>
      <c r="AN10" s="37"/>
      <c r="AO10" s="524"/>
      <c r="AP10" s="525"/>
      <c r="AQ10" s="525"/>
      <c r="AR10" s="525"/>
      <c r="AS10" s="525"/>
      <c r="AT10" s="526"/>
    </row>
    <row r="11" spans="1:46" ht="15" customHeight="1" x14ac:dyDescent="0.25">
      <c r="A11" s="37"/>
      <c r="B11" s="463"/>
      <c r="C11" s="463"/>
      <c r="D11" s="464"/>
      <c r="E11" s="504"/>
      <c r="F11" s="505"/>
      <c r="G11" s="505"/>
      <c r="H11" s="505"/>
      <c r="I11" s="505"/>
      <c r="J11" s="98" t="str">
        <f>IF(AND('Mapa final'!$AB$21="Muy Alta",'Mapa final'!$AD$21="Leve"),CONCATENATE("R6C",'Mapa final'!$Q$21),"")</f>
        <v/>
      </c>
      <c r="K11" s="99" t="e">
        <f>IF(AND('Mapa final'!#REF!="Muy Alta",'Mapa final'!#REF!="Leve"),CONCATENATE("R6C",'Mapa final'!#REF!),"")</f>
        <v>#REF!</v>
      </c>
      <c r="L11" s="99" t="e">
        <f>IF(AND('Mapa final'!#REF!="Muy Alta",'Mapa final'!#REF!="Leve"),CONCATENATE("R6C",'Mapa final'!#REF!),"")</f>
        <v>#REF!</v>
      </c>
      <c r="M11" s="99" t="str">
        <f>IF(AND('Mapa final'!$AB$16="Muy Alta",'Mapa final'!$AD$16="Leve"),CONCATENATE("R1C",'Mapa final'!$Q$16),"")</f>
        <v/>
      </c>
      <c r="N11" s="99" t="e">
        <f>IF(AND('Mapa final'!#REF!="Muy Alta",'Mapa final'!#REF!="Leve"),CONCATENATE("R1C",'Mapa final'!#REF!),"")</f>
        <v>#REF!</v>
      </c>
      <c r="O11" s="100" t="e">
        <f>IF(AND('Mapa final'!#REF!="Muy Alta",'Mapa final'!#REF!="Leve"),CONCATENATE("R1C",'Mapa final'!#REF!),"")</f>
        <v>#REF!</v>
      </c>
      <c r="P11" s="99" t="str">
        <f>IF(AND('Mapa final'!$AB$21="Muy Alta",'Mapa final'!$AD$21="Menor"),CONCATENATE("R6C",'Mapa final'!$Q$21),"")</f>
        <v/>
      </c>
      <c r="Q11" s="99" t="e">
        <f>IF(AND('Mapa final'!#REF!="Muy Alta",'Mapa final'!#REF!="Menor"),CONCATENATE("R6C",'Mapa final'!#REF!),"")</f>
        <v>#REF!</v>
      </c>
      <c r="R11" s="99" t="e">
        <f>IF(AND('Mapa final'!#REF!="Muy Alta",'Mapa final'!#REF!="Menor"),CONCATENATE("R6C",'Mapa final'!#REF!),"")</f>
        <v>#REF!</v>
      </c>
      <c r="S11" s="99" t="e">
        <f>IF(AND('Mapa final'!#REF!="Muy Alta",'Mapa final'!#REF!="Menor"),CONCATENATE("R6C",'Mapa final'!#REF!),"")</f>
        <v>#REF!</v>
      </c>
      <c r="T11" s="99" t="e">
        <f>IF(AND('Mapa final'!#REF!="Muy Alta",'Mapa final'!#REF!="Menor"),CONCATENATE("R6C",'Mapa final'!#REF!),"")</f>
        <v>#REF!</v>
      </c>
      <c r="U11" s="100" t="e">
        <f>IF(AND('Mapa final'!#REF!="Muy Alta",'Mapa final'!#REF!="Menor"),CONCATENATE("R6C",'Mapa final'!#REF!),"")</f>
        <v>#REF!</v>
      </c>
      <c r="V11" s="98" t="str">
        <f>IF(AND('Mapa final'!$AB$21="Muy Alta",'Mapa final'!$AD$21="Moderado"),CONCATENATE("R6C",'Mapa final'!$Q$21),"")</f>
        <v/>
      </c>
      <c r="W11" s="99" t="e">
        <f>IF(AND('Mapa final'!#REF!="Muy Alta",'Mapa final'!#REF!="Moderado"),CONCATENATE("R6C",'Mapa final'!#REF!),"")</f>
        <v>#REF!</v>
      </c>
      <c r="X11" s="99" t="e">
        <f>IF(AND('Mapa final'!#REF!="Muy Alta",'Mapa final'!#REF!="Moderado"),CONCATENATE("R6C",'Mapa final'!#REF!),"")</f>
        <v>#REF!</v>
      </c>
      <c r="Y11" s="99" t="e">
        <f>IF(AND('Mapa final'!#REF!="Muy Alta",'Mapa final'!#REF!="Moderado"),CONCATENATE("R6C",'Mapa final'!#REF!),"")</f>
        <v>#REF!</v>
      </c>
      <c r="Z11" s="99" t="e">
        <f>IF(AND('Mapa final'!#REF!="Muy Alta",'Mapa final'!#REF!="Moderado"),CONCATENATE("R6C",'Mapa final'!#REF!),"")</f>
        <v>#REF!</v>
      </c>
      <c r="AA11" s="100" t="e">
        <f>IF(AND('Mapa final'!#REF!="Muy Alta",'Mapa final'!#REF!="Moderado"),CONCATENATE("R6C",'Mapa final'!#REF!),"")</f>
        <v>#REF!</v>
      </c>
      <c r="AB11" s="98" t="str">
        <f>IF(AND('Mapa final'!$AB$21="Muy Alta",'Mapa final'!$AD$21="Mayor"),CONCATENATE("R6C",'Mapa final'!$Q$21),"")</f>
        <v/>
      </c>
      <c r="AC11" s="99" t="e">
        <f>IF(AND('Mapa final'!#REF!="Muy Alta",'Mapa final'!#REF!="Mayor"),CONCATENATE("R6C",'Mapa final'!#REF!),"")</f>
        <v>#REF!</v>
      </c>
      <c r="AD11" s="99" t="e">
        <f>IF(AND('Mapa final'!#REF!="Muy Alta",'Mapa final'!#REF!="Mayor"),CONCATENATE("R6C",'Mapa final'!#REF!),"")</f>
        <v>#REF!</v>
      </c>
      <c r="AE11" s="99" t="e">
        <f>IF(AND('Mapa final'!#REF!="Muy Alta",'Mapa final'!#REF!="Mayor"),CONCATENATE("R6C",'Mapa final'!#REF!),"")</f>
        <v>#REF!</v>
      </c>
      <c r="AF11" s="99" t="e">
        <f>IF(AND('Mapa final'!#REF!="Muy Alta",'Mapa final'!#REF!="Mayor"),CONCATENATE("R6C",'Mapa final'!#REF!),"")</f>
        <v>#REF!</v>
      </c>
      <c r="AG11" s="100" t="e">
        <f>IF(AND('Mapa final'!#REF!="Muy Alta",'Mapa final'!#REF!="Mayor"),CONCATENATE("R6C",'Mapa final'!#REF!),"")</f>
        <v>#REF!</v>
      </c>
      <c r="AH11" s="114" t="str">
        <f>IF(AND('Mapa final'!$AB$21="Muy Alta",'Mapa final'!$AD$21="Catastrófico"),CONCATENATE("R6C",'Mapa final'!$Q$21),"")</f>
        <v/>
      </c>
      <c r="AI11" s="115" t="e">
        <f>IF(AND('Mapa final'!#REF!="Muy Alta",'Mapa final'!#REF!="Catastrófico"),CONCATENATE("R6C",'Mapa final'!#REF!),"")</f>
        <v>#REF!</v>
      </c>
      <c r="AJ11" s="115" t="e">
        <f>IF(AND('Mapa final'!#REF!="Muy Alta",'Mapa final'!#REF!="Catastrófico"),CONCATENATE("R6C",'Mapa final'!#REF!),"")</f>
        <v>#REF!</v>
      </c>
      <c r="AK11" s="115" t="e">
        <f>IF(AND('Mapa final'!#REF!="Muy Alta",'Mapa final'!#REF!="Catastrófico"),CONCATENATE("R6C",'Mapa final'!#REF!),"")</f>
        <v>#REF!</v>
      </c>
      <c r="AL11" s="115" t="e">
        <f>IF(AND('Mapa final'!#REF!="Muy Alta",'Mapa final'!#REF!="Catastrófico"),CONCATENATE("R6C",'Mapa final'!#REF!),"")</f>
        <v>#REF!</v>
      </c>
      <c r="AM11" s="116" t="e">
        <f>IF(AND('Mapa final'!#REF!="Muy Alta",'Mapa final'!#REF!="Catastrófico"),CONCATENATE("R6C",'Mapa final'!#REF!),"")</f>
        <v>#REF!</v>
      </c>
      <c r="AN11" s="37"/>
      <c r="AO11" s="524"/>
      <c r="AP11" s="525"/>
      <c r="AQ11" s="525"/>
      <c r="AR11" s="525"/>
      <c r="AS11" s="525"/>
      <c r="AT11" s="526"/>
    </row>
    <row r="12" spans="1:46" ht="15" customHeight="1" x14ac:dyDescent="0.25">
      <c r="A12" s="37"/>
      <c r="B12" s="463"/>
      <c r="C12" s="463"/>
      <c r="D12" s="464"/>
      <c r="E12" s="504"/>
      <c r="F12" s="505"/>
      <c r="G12" s="505"/>
      <c r="H12" s="505"/>
      <c r="I12" s="505"/>
      <c r="J12" s="98" t="str">
        <f>IF(AND('Mapa final'!$AB$22="Muy Alta",'Mapa final'!$AD$22="Leve"),CONCATENATE("R7C",'Mapa final'!$Q$22),"")</f>
        <v/>
      </c>
      <c r="K12" s="99" t="e">
        <f>IF(AND('Mapa final'!#REF!="Muy Alta",'Mapa final'!#REF!="Leve"),CONCATENATE("R7C",'Mapa final'!#REF!),"")</f>
        <v>#REF!</v>
      </c>
      <c r="L12" s="99" t="e">
        <f>IF(AND('Mapa final'!#REF!="Muy Alta",'Mapa final'!#REF!="Leve"),CONCATENATE("R7C",'Mapa final'!#REF!),"")</f>
        <v>#REF!</v>
      </c>
      <c r="M12" s="99" t="str">
        <f>IF(AND('Mapa final'!$AB$16="Muy Alta",'Mapa final'!$AD$16="Leve"),CONCATENATE("R1C",'Mapa final'!$Q$16),"")</f>
        <v/>
      </c>
      <c r="N12" s="99" t="e">
        <f>IF(AND('Mapa final'!#REF!="Muy Alta",'Mapa final'!#REF!="Leve"),CONCATENATE("R1C",'Mapa final'!#REF!),"")</f>
        <v>#REF!</v>
      </c>
      <c r="O12" s="100" t="e">
        <f>IF(AND('Mapa final'!#REF!="Muy Alta",'Mapa final'!#REF!="Leve"),CONCATENATE("R1C",'Mapa final'!#REF!),"")</f>
        <v>#REF!</v>
      </c>
      <c r="P12" s="99" t="str">
        <f>IF(AND('Mapa final'!$AB$22="Muy Alta",'Mapa final'!$AD$22="Menor"),CONCATENATE("R7C",'Mapa final'!$Q$22),"")</f>
        <v/>
      </c>
      <c r="Q12" s="99" t="e">
        <f>IF(AND('Mapa final'!#REF!="Muy Alta",'Mapa final'!#REF!="Menor"),CONCATENATE("R7C",'Mapa final'!#REF!),"")</f>
        <v>#REF!</v>
      </c>
      <c r="R12" s="99" t="e">
        <f>IF(AND('Mapa final'!#REF!="Muy Alta",'Mapa final'!#REF!="Menor"),CONCATENATE("R7C",'Mapa final'!#REF!),"")</f>
        <v>#REF!</v>
      </c>
      <c r="S12" s="99" t="e">
        <f>IF(AND('Mapa final'!#REF!="Muy Alta",'Mapa final'!#REF!="Menor"),CONCATENATE("R7C",'Mapa final'!#REF!),"")</f>
        <v>#REF!</v>
      </c>
      <c r="T12" s="99" t="e">
        <f>IF(AND('Mapa final'!#REF!="Muy Alta",'Mapa final'!#REF!="Menor"),CONCATENATE("R7C",'Mapa final'!#REF!),"")</f>
        <v>#REF!</v>
      </c>
      <c r="U12" s="100" t="e">
        <f>IF(AND('Mapa final'!#REF!="Muy Alta",'Mapa final'!#REF!="Menor"),CONCATENATE("R7C",'Mapa final'!#REF!),"")</f>
        <v>#REF!</v>
      </c>
      <c r="V12" s="98" t="str">
        <f>IF(AND('Mapa final'!$AB$22="Muy Alta",'Mapa final'!$AD$22="Moderado"),CONCATENATE("R7C",'Mapa final'!$Q$22),"")</f>
        <v/>
      </c>
      <c r="W12" s="99" t="e">
        <f>IF(AND('Mapa final'!#REF!="Muy Alta",'Mapa final'!#REF!="Moderado"),CONCATENATE("R7C",'Mapa final'!#REF!),"")</f>
        <v>#REF!</v>
      </c>
      <c r="X12" s="99" t="e">
        <f>IF(AND('Mapa final'!#REF!="Muy Alta",'Mapa final'!#REF!="Moderado"),CONCATENATE("R7C",'Mapa final'!#REF!),"")</f>
        <v>#REF!</v>
      </c>
      <c r="Y12" s="99" t="e">
        <f>IF(AND('Mapa final'!#REF!="Muy Alta",'Mapa final'!#REF!="Moderado"),CONCATENATE("R7C",'Mapa final'!#REF!),"")</f>
        <v>#REF!</v>
      </c>
      <c r="Z12" s="99" t="e">
        <f>IF(AND('Mapa final'!#REF!="Muy Alta",'Mapa final'!#REF!="Moderado"),CONCATENATE("R7C",'Mapa final'!#REF!),"")</f>
        <v>#REF!</v>
      </c>
      <c r="AA12" s="100" t="e">
        <f>IF(AND('Mapa final'!#REF!="Muy Alta",'Mapa final'!#REF!="Moderado"),CONCATENATE("R7C",'Mapa final'!#REF!),"")</f>
        <v>#REF!</v>
      </c>
      <c r="AB12" s="98" t="str">
        <f>IF(AND('Mapa final'!$AB$22="Muy Alta",'Mapa final'!$AD$22="Mayor"),CONCATENATE("R7C",'Mapa final'!$Q$22),"")</f>
        <v/>
      </c>
      <c r="AC12" s="99" t="e">
        <f>IF(AND('Mapa final'!#REF!="Muy Alta",'Mapa final'!#REF!="Mayor"),CONCATENATE("R7C",'Mapa final'!#REF!),"")</f>
        <v>#REF!</v>
      </c>
      <c r="AD12" s="99" t="e">
        <f>IF(AND('Mapa final'!#REF!="Muy Alta",'Mapa final'!#REF!="Mayor"),CONCATENATE("R7C",'Mapa final'!#REF!),"")</f>
        <v>#REF!</v>
      </c>
      <c r="AE12" s="99" t="e">
        <f>IF(AND('Mapa final'!#REF!="Muy Alta",'Mapa final'!#REF!="Mayor"),CONCATENATE("R7C",'Mapa final'!#REF!),"")</f>
        <v>#REF!</v>
      </c>
      <c r="AF12" s="99" t="e">
        <f>IF(AND('Mapa final'!#REF!="Muy Alta",'Mapa final'!#REF!="Mayor"),CONCATENATE("R7C",'Mapa final'!#REF!),"")</f>
        <v>#REF!</v>
      </c>
      <c r="AG12" s="100" t="e">
        <f>IF(AND('Mapa final'!#REF!="Muy Alta",'Mapa final'!#REF!="Mayor"),CONCATENATE("R7C",'Mapa final'!#REF!),"")</f>
        <v>#REF!</v>
      </c>
      <c r="AH12" s="114" t="str">
        <f>IF(AND('Mapa final'!$AB$22="Muy Alta",'Mapa final'!$AD$22="Catastrófico"),CONCATENATE("R7C",'Mapa final'!$Q$22),"")</f>
        <v/>
      </c>
      <c r="AI12" s="115" t="e">
        <f>IF(AND('Mapa final'!#REF!="Muy Alta",'Mapa final'!#REF!="Catastrófico"),CONCATENATE("R7C",'Mapa final'!#REF!),"")</f>
        <v>#REF!</v>
      </c>
      <c r="AJ12" s="115" t="e">
        <f>IF(AND('Mapa final'!#REF!="Muy Alta",'Mapa final'!#REF!="Catastrófico"),CONCATENATE("R7C",'Mapa final'!#REF!),"")</f>
        <v>#REF!</v>
      </c>
      <c r="AK12" s="115" t="e">
        <f>IF(AND('Mapa final'!#REF!="Muy Alta",'Mapa final'!#REF!="Catastrófico"),CONCATENATE("R7C",'Mapa final'!#REF!),"")</f>
        <v>#REF!</v>
      </c>
      <c r="AL12" s="115" t="e">
        <f>IF(AND('Mapa final'!#REF!="Muy Alta",'Mapa final'!#REF!="Catastrófico"),CONCATENATE("R7C",'Mapa final'!#REF!),"")</f>
        <v>#REF!</v>
      </c>
      <c r="AM12" s="116" t="e">
        <f>IF(AND('Mapa final'!#REF!="Muy Alta",'Mapa final'!#REF!="Catastrófico"),CONCATENATE("R7C",'Mapa final'!#REF!),"")</f>
        <v>#REF!</v>
      </c>
      <c r="AN12" s="37"/>
      <c r="AO12" s="524"/>
      <c r="AP12" s="525"/>
      <c r="AQ12" s="525"/>
      <c r="AR12" s="525"/>
      <c r="AS12" s="525"/>
      <c r="AT12" s="526"/>
    </row>
    <row r="13" spans="1:46" ht="15" customHeight="1" x14ac:dyDescent="0.25">
      <c r="A13" s="37"/>
      <c r="B13" s="463"/>
      <c r="C13" s="463"/>
      <c r="D13" s="464"/>
      <c r="E13" s="504"/>
      <c r="F13" s="505"/>
      <c r="G13" s="505"/>
      <c r="H13" s="505"/>
      <c r="I13" s="505"/>
      <c r="J13" s="98" t="str">
        <f>IF(AND('Mapa final'!$AB$23="Muy Alta",'Mapa final'!$AD$23="Leve"),CONCATENATE("R8C",'Mapa final'!$Q$23),"")</f>
        <v/>
      </c>
      <c r="K13" s="99" t="e">
        <f>IF(AND('Mapa final'!#REF!="Muy Alta",'Mapa final'!#REF!="Leve"),CONCATENATE("R8C",'Mapa final'!#REF!),"")</f>
        <v>#REF!</v>
      </c>
      <c r="L13" s="99" t="e">
        <f>IF(AND('Mapa final'!#REF!="Muy Alta",'Mapa final'!#REF!="Leve"),CONCATENATE("R8C",'Mapa final'!#REF!),"")</f>
        <v>#REF!</v>
      </c>
      <c r="M13" s="99" t="str">
        <f>IF(AND('Mapa final'!$AB$16="Muy Alta",'Mapa final'!$AD$16="Leve"),CONCATENATE("R1C",'Mapa final'!$Q$16),"")</f>
        <v/>
      </c>
      <c r="N13" s="99" t="e">
        <f>IF(AND('Mapa final'!#REF!="Muy Alta",'Mapa final'!#REF!="Leve"),CONCATENATE("R1C",'Mapa final'!#REF!),"")</f>
        <v>#REF!</v>
      </c>
      <c r="O13" s="100" t="e">
        <f>IF(AND('Mapa final'!#REF!="Muy Alta",'Mapa final'!#REF!="Leve"),CONCATENATE("R1C",'Mapa final'!#REF!),"")</f>
        <v>#REF!</v>
      </c>
      <c r="P13" s="99" t="str">
        <f>IF(AND('Mapa final'!$AB$23="Muy Alta",'Mapa final'!$AD$23="Menor"),CONCATENATE("R8C",'Mapa final'!$Q$23),"")</f>
        <v/>
      </c>
      <c r="Q13" s="99" t="e">
        <f>IF(AND('Mapa final'!#REF!="Muy Alta",'Mapa final'!#REF!="Menor"),CONCATENATE("R8C",'Mapa final'!#REF!),"")</f>
        <v>#REF!</v>
      </c>
      <c r="R13" s="99" t="e">
        <f>IF(AND('Mapa final'!#REF!="Muy Alta",'Mapa final'!#REF!="Menor"),CONCATENATE("R8C",'Mapa final'!#REF!),"")</f>
        <v>#REF!</v>
      </c>
      <c r="S13" s="99" t="e">
        <f>IF(AND('Mapa final'!#REF!="Muy Alta",'Mapa final'!#REF!="Menor"),CONCATENATE("R8C",'Mapa final'!#REF!),"")</f>
        <v>#REF!</v>
      </c>
      <c r="T13" s="99" t="e">
        <f>IF(AND('Mapa final'!#REF!="Muy Alta",'Mapa final'!#REF!="Menor"),CONCATENATE("R8C",'Mapa final'!#REF!),"")</f>
        <v>#REF!</v>
      </c>
      <c r="U13" s="100" t="e">
        <f>IF(AND('Mapa final'!#REF!="Muy Alta",'Mapa final'!#REF!="Menor"),CONCATENATE("R8C",'Mapa final'!#REF!),"")</f>
        <v>#REF!</v>
      </c>
      <c r="V13" s="98" t="str">
        <f>IF(AND('Mapa final'!$AB$23="Muy Alta",'Mapa final'!$AD$23="Moderado"),CONCATENATE("R8C",'Mapa final'!$Q$23),"")</f>
        <v/>
      </c>
      <c r="W13" s="99" t="e">
        <f>IF(AND('Mapa final'!#REF!="Muy Alta",'Mapa final'!#REF!="Moderado"),CONCATENATE("R8C",'Mapa final'!#REF!),"")</f>
        <v>#REF!</v>
      </c>
      <c r="X13" s="99" t="e">
        <f>IF(AND('Mapa final'!#REF!="Muy Alta",'Mapa final'!#REF!="Moderado"),CONCATENATE("R8C",'Mapa final'!#REF!),"")</f>
        <v>#REF!</v>
      </c>
      <c r="Y13" s="99" t="e">
        <f>IF(AND('Mapa final'!#REF!="Muy Alta",'Mapa final'!#REF!="Moderado"),CONCATENATE("R8C",'Mapa final'!#REF!),"")</f>
        <v>#REF!</v>
      </c>
      <c r="Z13" s="99" t="e">
        <f>IF(AND('Mapa final'!#REF!="Muy Alta",'Mapa final'!#REF!="Moderado"),CONCATENATE("R8C",'Mapa final'!#REF!),"")</f>
        <v>#REF!</v>
      </c>
      <c r="AA13" s="100" t="e">
        <f>IF(AND('Mapa final'!#REF!="Muy Alta",'Mapa final'!#REF!="Moderado"),CONCATENATE("R8C",'Mapa final'!#REF!),"")</f>
        <v>#REF!</v>
      </c>
      <c r="AB13" s="98" t="str">
        <f>IF(AND('Mapa final'!$AB$23="Muy Alta",'Mapa final'!$AD$23="Mayor"),CONCATENATE("R8C",'Mapa final'!$Q$23),"")</f>
        <v/>
      </c>
      <c r="AC13" s="99" t="e">
        <f>IF(AND('Mapa final'!#REF!="Muy Alta",'Mapa final'!#REF!="Mayor"),CONCATENATE("R8C",'Mapa final'!#REF!),"")</f>
        <v>#REF!</v>
      </c>
      <c r="AD13" s="99" t="e">
        <f>IF(AND('Mapa final'!#REF!="Muy Alta",'Mapa final'!#REF!="Mayor"),CONCATENATE("R8C",'Mapa final'!#REF!),"")</f>
        <v>#REF!</v>
      </c>
      <c r="AE13" s="99" t="e">
        <f>IF(AND('Mapa final'!#REF!="Muy Alta",'Mapa final'!#REF!="Mayor"),CONCATENATE("R8C",'Mapa final'!#REF!),"")</f>
        <v>#REF!</v>
      </c>
      <c r="AF13" s="99" t="e">
        <f>IF(AND('Mapa final'!#REF!="Muy Alta",'Mapa final'!#REF!="Mayor"),CONCATENATE("R8C",'Mapa final'!#REF!),"")</f>
        <v>#REF!</v>
      </c>
      <c r="AG13" s="100" t="e">
        <f>IF(AND('Mapa final'!#REF!="Muy Alta",'Mapa final'!#REF!="Mayor"),CONCATENATE("R8C",'Mapa final'!#REF!),"")</f>
        <v>#REF!</v>
      </c>
      <c r="AH13" s="114" t="str">
        <f>IF(AND('Mapa final'!$AB$23="Muy Alta",'Mapa final'!$AD$23="Catastrófico"),CONCATENATE("R8C",'Mapa final'!$Q$23),"")</f>
        <v/>
      </c>
      <c r="AI13" s="115" t="e">
        <f>IF(AND('Mapa final'!#REF!="Muy Alta",'Mapa final'!#REF!="Catastrófico"),CONCATENATE("R8C",'Mapa final'!#REF!),"")</f>
        <v>#REF!</v>
      </c>
      <c r="AJ13" s="115" t="e">
        <f>IF(AND('Mapa final'!#REF!="Muy Alta",'Mapa final'!#REF!="Catastrófico"),CONCATENATE("R8C",'Mapa final'!#REF!),"")</f>
        <v>#REF!</v>
      </c>
      <c r="AK13" s="115" t="e">
        <f>IF(AND('Mapa final'!#REF!="Muy Alta",'Mapa final'!#REF!="Catastrófico"),CONCATENATE("R8C",'Mapa final'!#REF!),"")</f>
        <v>#REF!</v>
      </c>
      <c r="AL13" s="115" t="e">
        <f>IF(AND('Mapa final'!#REF!="Muy Alta",'Mapa final'!#REF!="Catastrófico"),CONCATENATE("R8C",'Mapa final'!#REF!),"")</f>
        <v>#REF!</v>
      </c>
      <c r="AM13" s="116" t="e">
        <f>IF(AND('Mapa final'!#REF!="Muy Alta",'Mapa final'!#REF!="Catastrófico"),CONCATENATE("R8C",'Mapa final'!#REF!),"")</f>
        <v>#REF!</v>
      </c>
      <c r="AN13" s="37"/>
      <c r="AO13" s="524"/>
      <c r="AP13" s="525"/>
      <c r="AQ13" s="525"/>
      <c r="AR13" s="525"/>
      <c r="AS13" s="525"/>
      <c r="AT13" s="526"/>
    </row>
    <row r="14" spans="1:46" ht="15" customHeight="1" x14ac:dyDescent="0.25">
      <c r="A14" s="37"/>
      <c r="B14" s="463"/>
      <c r="C14" s="463"/>
      <c r="D14" s="464"/>
      <c r="E14" s="504"/>
      <c r="F14" s="505"/>
      <c r="G14" s="505"/>
      <c r="H14" s="505"/>
      <c r="I14" s="505"/>
      <c r="J14" s="98" t="str">
        <f>IF(AND('Mapa final'!$AB$24="Muy Alta",'Mapa final'!$AD$24="Leve"),CONCATENATE("R9C",'Mapa final'!$Q$24),"")</f>
        <v/>
      </c>
      <c r="K14" s="99" t="str">
        <f>IF(AND('Mapa final'!$AB$25="Muy Alta",'Mapa final'!$AD$25="Leve"),CONCATENATE("R9C",'Mapa final'!$Q$25),"")</f>
        <v/>
      </c>
      <c r="L14" s="99" t="str">
        <f>IF(AND('Mapa final'!$AB$26="Muy Alta",'Mapa final'!$AD$26="Leve"),CONCATENATE("R9C",'Mapa final'!$Q$26),"")</f>
        <v/>
      </c>
      <c r="M14" s="99" t="str">
        <f>IF(AND('Mapa final'!$AB$16="Muy Alta",'Mapa final'!$AD$16="Leve"),CONCATENATE("R1C",'Mapa final'!$Q$16),"")</f>
        <v/>
      </c>
      <c r="N14" s="99" t="e">
        <f>IF(AND('Mapa final'!#REF!="Muy Alta",'Mapa final'!#REF!="Leve"),CONCATENATE("R1C",'Mapa final'!#REF!),"")</f>
        <v>#REF!</v>
      </c>
      <c r="O14" s="100" t="e">
        <f>IF(AND('Mapa final'!#REF!="Muy Alta",'Mapa final'!#REF!="Leve"),CONCATENATE("R1C",'Mapa final'!#REF!),"")</f>
        <v>#REF!</v>
      </c>
      <c r="P14" s="99" t="str">
        <f>IF(AND('Mapa final'!$AB$24="Muy Alta",'Mapa final'!$AD$24="Menor"),CONCATENATE("R9C",'Mapa final'!$Q$24),"")</f>
        <v/>
      </c>
      <c r="Q14" s="99" t="str">
        <f>IF(AND('Mapa final'!$AB$25="Muy Alta",'Mapa final'!$AD$25="Menor"),CONCATENATE("R9C",'Mapa final'!$Q$25),"")</f>
        <v/>
      </c>
      <c r="R14" s="99" t="str">
        <f>IF(AND('Mapa final'!$AB$26="Muy Alta",'Mapa final'!$AD$26="Menor"),CONCATENATE("R9C",'Mapa final'!$Q$26),"")</f>
        <v/>
      </c>
      <c r="S14" s="99" t="e">
        <f>IF(AND('Mapa final'!#REF!="Muy Alta",'Mapa final'!#REF!="Menor"),CONCATENATE("R9C",'Mapa final'!#REF!),"")</f>
        <v>#REF!</v>
      </c>
      <c r="T14" s="99" t="e">
        <f>IF(AND('Mapa final'!#REF!="Muy Alta",'Mapa final'!#REF!="Menor"),CONCATENATE("R9C",'Mapa final'!#REF!),"")</f>
        <v>#REF!</v>
      </c>
      <c r="U14" s="100" t="e">
        <f>IF(AND('Mapa final'!#REF!="Muy Alta",'Mapa final'!#REF!="Menor"),CONCATENATE("R9C",'Mapa final'!#REF!),"")</f>
        <v>#REF!</v>
      </c>
      <c r="V14" s="98" t="str">
        <f>IF(AND('Mapa final'!$AB$24="Muy Alta",'Mapa final'!$AD$24="Moderado"),CONCATENATE("R9C",'Mapa final'!$Q$24),"")</f>
        <v/>
      </c>
      <c r="W14" s="99" t="str">
        <f>IF(AND('Mapa final'!$AB$25="Muy Alta",'Mapa final'!$AD$25="Moderado"),CONCATENATE("R9C",'Mapa final'!$Q$25),"")</f>
        <v/>
      </c>
      <c r="X14" s="99" t="str">
        <f>IF(AND('Mapa final'!$AB$26="Muy Alta",'Mapa final'!$AD$26="Moderado"),CONCATENATE("R9C",'Mapa final'!$Q$26),"")</f>
        <v/>
      </c>
      <c r="Y14" s="99" t="e">
        <f>IF(AND('Mapa final'!#REF!="Muy Alta",'Mapa final'!#REF!="Moderado"),CONCATENATE("R9C",'Mapa final'!#REF!),"")</f>
        <v>#REF!</v>
      </c>
      <c r="Z14" s="99" t="e">
        <f>IF(AND('Mapa final'!#REF!="Muy Alta",'Mapa final'!#REF!="Moderado"),CONCATENATE("R9C",'Mapa final'!#REF!),"")</f>
        <v>#REF!</v>
      </c>
      <c r="AA14" s="100" t="e">
        <f>IF(AND('Mapa final'!#REF!="Muy Alta",'Mapa final'!#REF!="Moderado"),CONCATENATE("R9C",'Mapa final'!#REF!),"")</f>
        <v>#REF!</v>
      </c>
      <c r="AB14" s="98" t="str">
        <f>IF(AND('Mapa final'!$AB$24="Muy Alta",'Mapa final'!$AD$24="Mayor"),CONCATENATE("R9C",'Mapa final'!$Q$24),"")</f>
        <v/>
      </c>
      <c r="AC14" s="99" t="str">
        <f>IF(AND('Mapa final'!$AB$25="Muy Alta",'Mapa final'!$AD$25="Mayor"),CONCATENATE("R9C",'Mapa final'!$Q$25),"")</f>
        <v/>
      </c>
      <c r="AD14" s="99" t="str">
        <f>IF(AND('Mapa final'!$AB$26="Muy Alta",'Mapa final'!$AD$26="Mayor"),CONCATENATE("R9C",'Mapa final'!$Q$26),"")</f>
        <v/>
      </c>
      <c r="AE14" s="99" t="e">
        <f>IF(AND('Mapa final'!#REF!="Muy Alta",'Mapa final'!#REF!="Mayor"),CONCATENATE("R9C",'Mapa final'!#REF!),"")</f>
        <v>#REF!</v>
      </c>
      <c r="AF14" s="99" t="e">
        <f>IF(AND('Mapa final'!#REF!="Muy Alta",'Mapa final'!#REF!="Mayor"),CONCATENATE("R9C",'Mapa final'!#REF!),"")</f>
        <v>#REF!</v>
      </c>
      <c r="AG14" s="100" t="e">
        <f>IF(AND('Mapa final'!#REF!="Muy Alta",'Mapa final'!#REF!="Mayor"),CONCATENATE("R9C",'Mapa final'!#REF!),"")</f>
        <v>#REF!</v>
      </c>
      <c r="AH14" s="114" t="str">
        <f>IF(AND('Mapa final'!$AB$24="Muy Alta",'Mapa final'!$AD$24="Catastrófico"),CONCATENATE("R9C",'Mapa final'!$Q$24),"")</f>
        <v/>
      </c>
      <c r="AI14" s="115" t="str">
        <f>IF(AND('Mapa final'!$AB$25="Muy Alta",'Mapa final'!$AD$25="Catastrófico"),CONCATENATE("R9C",'Mapa final'!$Q$25),"")</f>
        <v/>
      </c>
      <c r="AJ14" s="115" t="str">
        <f>IF(AND('Mapa final'!$AB$26="Muy Alta",'Mapa final'!$AD$26="Catastrófico"),CONCATENATE("R9C",'Mapa final'!$Q$26),"")</f>
        <v/>
      </c>
      <c r="AK14" s="115" t="e">
        <f>IF(AND('Mapa final'!#REF!="Muy Alta",'Mapa final'!#REF!="Catastrófico"),CONCATENATE("R9C",'Mapa final'!#REF!),"")</f>
        <v>#REF!</v>
      </c>
      <c r="AL14" s="115" t="e">
        <f>IF(AND('Mapa final'!#REF!="Muy Alta",'Mapa final'!#REF!="Catastrófico"),CONCATENATE("R9C",'Mapa final'!#REF!),"")</f>
        <v>#REF!</v>
      </c>
      <c r="AM14" s="116" t="e">
        <f>IF(AND('Mapa final'!#REF!="Muy Alta",'Mapa final'!#REF!="Catastrófico"),CONCATENATE("R9C",'Mapa final'!#REF!),"")</f>
        <v>#REF!</v>
      </c>
      <c r="AN14" s="37"/>
      <c r="AO14" s="524"/>
      <c r="AP14" s="525"/>
      <c r="AQ14" s="525"/>
      <c r="AR14" s="525"/>
      <c r="AS14" s="525"/>
      <c r="AT14" s="526"/>
    </row>
    <row r="15" spans="1:46" ht="15.75" customHeight="1" thickBot="1" x14ac:dyDescent="0.3">
      <c r="A15" s="37"/>
      <c r="B15" s="463"/>
      <c r="C15" s="463"/>
      <c r="D15" s="464"/>
      <c r="E15" s="507"/>
      <c r="F15" s="508"/>
      <c r="G15" s="508"/>
      <c r="H15" s="508"/>
      <c r="I15" s="508"/>
      <c r="J15" s="101" t="str">
        <f>IF(AND('Mapa final'!$AB$27="Muy Alta",'Mapa final'!$AD$27="Leve"),CONCATENATE("R10C",'Mapa final'!$Q$27),"")</f>
        <v/>
      </c>
      <c r="K15" s="102" t="str">
        <f>IF(AND('Mapa final'!$AB$28="Muy Alta",'Mapa final'!$AD$28="Leve"),CONCATENATE("R10C",'Mapa final'!$Q$28),"")</f>
        <v/>
      </c>
      <c r="L15" s="102" t="str">
        <f>IF(AND('Mapa final'!$AB$29="Muy Alta",'Mapa final'!$AD$29="Leve"),CONCATENATE("R10C",'Mapa final'!$Q$29),"")</f>
        <v/>
      </c>
      <c r="M15" s="102" t="str">
        <f>IF(AND('Mapa final'!$AB$16="Muy Alta",'Mapa final'!$AD$16="Leve"),CONCATENATE("R1C",'Mapa final'!$Q$16),"")</f>
        <v/>
      </c>
      <c r="N15" s="102" t="e">
        <f>IF(AND('Mapa final'!#REF!="Muy Alta",'Mapa final'!#REF!="Leve"),CONCATENATE("R1C",'Mapa final'!#REF!),"")</f>
        <v>#REF!</v>
      </c>
      <c r="O15" s="103" t="e">
        <f>IF(AND('Mapa final'!#REF!="Muy Alta",'Mapa final'!#REF!="Leve"),CONCATENATE("R1C",'Mapa final'!#REF!),"")</f>
        <v>#REF!</v>
      </c>
      <c r="P15" s="99" t="str">
        <f>IF(AND('Mapa final'!$AB$27="Muy Alta",'Mapa final'!$AD$27="Menor"),CONCATENATE("R10C",'Mapa final'!$Q$27),"")</f>
        <v/>
      </c>
      <c r="Q15" s="99" t="str">
        <f>IF(AND('Mapa final'!$AB$28="Muy Alta",'Mapa final'!$AD$28="Menor"),CONCATENATE("R10C",'Mapa final'!$Q$28),"")</f>
        <v/>
      </c>
      <c r="R15" s="99" t="str">
        <f>IF(AND('Mapa final'!$AB$29="Muy Alta",'Mapa final'!$AD$29="Menor"),CONCATENATE("R10C",'Mapa final'!$Q$29),"")</f>
        <v/>
      </c>
      <c r="S15" s="99" t="e">
        <f>IF(AND('Mapa final'!#REF!="Muy Alta",'Mapa final'!#REF!="Menor"),CONCATENATE("R10C",'Mapa final'!#REF!),"")</f>
        <v>#REF!</v>
      </c>
      <c r="T15" s="99" t="e">
        <f>IF(AND('Mapa final'!#REF!="Muy Alta",'Mapa final'!#REF!="Menor"),CONCATENATE("R10C",'Mapa final'!#REF!),"")</f>
        <v>#REF!</v>
      </c>
      <c r="U15" s="100" t="e">
        <f>IF(AND('Mapa final'!#REF!="Muy Alta",'Mapa final'!#REF!="Menor"),CONCATENATE("R10C",'Mapa final'!#REF!),"")</f>
        <v>#REF!</v>
      </c>
      <c r="V15" s="101" t="str">
        <f>IF(AND('Mapa final'!$AB$27="Muy Alta",'Mapa final'!$AD$27="Moderado"),CONCATENATE("R10C",'Mapa final'!$Q$27),"")</f>
        <v/>
      </c>
      <c r="W15" s="102" t="str">
        <f>IF(AND('Mapa final'!$AB$28="Muy Alta",'Mapa final'!$AD$28="Moderado"),CONCATENATE("R10C",'Mapa final'!$Q$28),"")</f>
        <v/>
      </c>
      <c r="X15" s="102" t="str">
        <f>IF(AND('Mapa final'!$AB$29="Muy Alta",'Mapa final'!$AD$29="Moderado"),CONCATENATE("R10C",'Mapa final'!$Q$29),"")</f>
        <v/>
      </c>
      <c r="Y15" s="102" t="e">
        <f>IF(AND('Mapa final'!#REF!="Muy Alta",'Mapa final'!#REF!="Moderado"),CONCATENATE("R10C",'Mapa final'!#REF!),"")</f>
        <v>#REF!</v>
      </c>
      <c r="Z15" s="102" t="e">
        <f>IF(AND('Mapa final'!#REF!="Muy Alta",'Mapa final'!#REF!="Moderado"),CONCATENATE("R10C",'Mapa final'!#REF!),"")</f>
        <v>#REF!</v>
      </c>
      <c r="AA15" s="103" t="e">
        <f>IF(AND('Mapa final'!#REF!="Muy Alta",'Mapa final'!#REF!="Moderado"),CONCATENATE("R10C",'Mapa final'!#REF!),"")</f>
        <v>#REF!</v>
      </c>
      <c r="AB15" s="98" t="str">
        <f>IF(AND('Mapa final'!$AB$27="Muy Alta",'Mapa final'!$AD$27="Mayor"),CONCATENATE("R10C",'Mapa final'!$Q$27),"")</f>
        <v/>
      </c>
      <c r="AC15" s="99" t="str">
        <f>IF(AND('Mapa final'!$AB$28="Muy Alta",'Mapa final'!$AD$28="Mayor"),CONCATENATE("R10C",'Mapa final'!$Q$28),"")</f>
        <v/>
      </c>
      <c r="AD15" s="99" t="str">
        <f>IF(AND('Mapa final'!$AB$29="Muy Alta",'Mapa final'!$AD$29="Mayor"),CONCATENATE("R10C",'Mapa final'!$Q$29),"")</f>
        <v/>
      </c>
      <c r="AE15" s="99" t="e">
        <f>IF(AND('Mapa final'!#REF!="Muy Alta",'Mapa final'!#REF!="Mayor"),CONCATENATE("R10C",'Mapa final'!#REF!),"")</f>
        <v>#REF!</v>
      </c>
      <c r="AF15" s="99" t="e">
        <f>IF(AND('Mapa final'!#REF!="Muy Alta",'Mapa final'!#REF!="Mayor"),CONCATENATE("R10C",'Mapa final'!#REF!),"")</f>
        <v>#REF!</v>
      </c>
      <c r="AG15" s="100" t="e">
        <f>IF(AND('Mapa final'!#REF!="Muy Alta",'Mapa final'!#REF!="Mayor"),CONCATENATE("R10C",'Mapa final'!#REF!),"")</f>
        <v>#REF!</v>
      </c>
      <c r="AH15" s="117" t="str">
        <f>IF(AND('Mapa final'!$AB$27="Muy Alta",'Mapa final'!$AD$27="Catastrófico"),CONCATENATE("R10C",'Mapa final'!$Q$27),"")</f>
        <v/>
      </c>
      <c r="AI15" s="118" t="str">
        <f>IF(AND('Mapa final'!$AB$28="Muy Alta",'Mapa final'!$AD$28="Catastrófico"),CONCATENATE("R10C",'Mapa final'!$Q$28),"")</f>
        <v/>
      </c>
      <c r="AJ15" s="118" t="str">
        <f>IF(AND('Mapa final'!$AB$29="Muy Alta",'Mapa final'!$AD$29="Catastrófico"),CONCATENATE("R10C",'Mapa final'!$Q$29),"")</f>
        <v/>
      </c>
      <c r="AK15" s="118" t="e">
        <f>IF(AND('Mapa final'!#REF!="Muy Alta",'Mapa final'!#REF!="Catastrófico"),CONCATENATE("R10C",'Mapa final'!#REF!),"")</f>
        <v>#REF!</v>
      </c>
      <c r="AL15" s="118" t="e">
        <f>IF(AND('Mapa final'!#REF!="Muy Alta",'Mapa final'!#REF!="Catastrófico"),CONCATENATE("R10C",'Mapa final'!#REF!),"")</f>
        <v>#REF!</v>
      </c>
      <c r="AM15" s="119" t="e">
        <f>IF(AND('Mapa final'!#REF!="Muy Alta",'Mapa final'!#REF!="Catastrófico"),CONCATENATE("R10C",'Mapa final'!#REF!),"")</f>
        <v>#REF!</v>
      </c>
      <c r="AN15" s="37"/>
      <c r="AO15" s="527"/>
      <c r="AP15" s="528"/>
      <c r="AQ15" s="528"/>
      <c r="AR15" s="528"/>
      <c r="AS15" s="528"/>
      <c r="AT15" s="529"/>
    </row>
    <row r="16" spans="1:46" ht="15" customHeight="1" x14ac:dyDescent="0.25">
      <c r="A16" s="37"/>
      <c r="B16" s="463"/>
      <c r="C16" s="463"/>
      <c r="D16" s="464"/>
      <c r="E16" s="501" t="s">
        <v>115</v>
      </c>
      <c r="F16" s="502"/>
      <c r="G16" s="502"/>
      <c r="H16" s="502"/>
      <c r="I16" s="502"/>
      <c r="J16" s="81" t="str">
        <f>IF(AND('Mapa final'!$AB$13="Alta",'Mapa final'!$AD$13="Leve"),CONCATENATE("R1C",'Mapa final'!$Q$13),"")</f>
        <v/>
      </c>
      <c r="K16" s="79" t="str">
        <f>IF(AND('Mapa final'!$AB$14="Alta",'Mapa final'!$AD$14="Leve"),CONCATENATE("R1C",'Mapa final'!$Q$14),"")</f>
        <v/>
      </c>
      <c r="L16" s="79" t="str">
        <f>IF(AND('Mapa final'!$AB$15="Alta",'Mapa final'!$AD$15="Leve"),CONCATENATE("R1C",'Mapa final'!$Q$15),"")</f>
        <v/>
      </c>
      <c r="M16" s="79" t="e">
        <f>IF(AND('Mapa final'!#REF!="Alta",'Mapa final'!#REF!="Leve"),CONCATENATE("R1C",'Mapa final'!#REF!),"")</f>
        <v>#REF!</v>
      </c>
      <c r="N16" s="79" t="e">
        <f>IF(AND('Mapa final'!#REF!="Alta",'Mapa final'!#REF!="Leve"),CONCATENATE("R1C",'Mapa final'!#REF!),"")</f>
        <v>#REF!</v>
      </c>
      <c r="O16" s="80" t="e">
        <f>IF(AND('Mapa final'!#REF!="Alta",'Mapa final'!#REF!="Leve"),CONCATENATE("R1C",'Mapa final'!#REF!),"")</f>
        <v>#REF!</v>
      </c>
      <c r="P16" s="82" t="str">
        <f>IF(AND('Mapa final'!$AB$13="Alta",'Mapa final'!$AD$13="Menor"),CONCATENATE("R1C",'Mapa final'!$Q$13),"")</f>
        <v/>
      </c>
      <c r="Q16" s="77" t="str">
        <f>IF(AND('Mapa final'!$AB$14="Alta",'Mapa final'!$AD$14="Menor"),CONCATENATE("R1C",'Mapa final'!$Q$14),"")</f>
        <v/>
      </c>
      <c r="R16" s="77" t="str">
        <f>IF(AND('Mapa final'!$AB$15="Alta",'Mapa final'!$AD$15="Menor"),CONCATENATE("R1C",'Mapa final'!$Q$15),"")</f>
        <v/>
      </c>
      <c r="S16" s="77" t="e">
        <f>IF(AND('Mapa final'!#REF!="Alta",'Mapa final'!#REF!="Menor"),CONCATENATE("R1C",'Mapa final'!#REF!),"")</f>
        <v>#REF!</v>
      </c>
      <c r="T16" s="77" t="e">
        <f>IF(AND('Mapa final'!#REF!="Alta",'Mapa final'!#REF!="Menor"),CONCATENATE("R1C",'Mapa final'!#REF!),"")</f>
        <v>#REF!</v>
      </c>
      <c r="U16" s="78" t="e">
        <f>IF(AND('Mapa final'!#REF!="Alta",'Mapa final'!#REF!="Menor"),CONCATENATE("R1C",'Mapa final'!#REF!),"")</f>
        <v>#REF!</v>
      </c>
      <c r="V16" s="95" t="str">
        <f>IF(AND('Mapa final'!$AB$13="Alta",'Mapa final'!$AD$13="Moderado"),CONCATENATE("R1C",'Mapa final'!$Q$13),"")</f>
        <v/>
      </c>
      <c r="W16" s="96" t="str">
        <f>IF(AND('Mapa final'!$AB$14="Alta",'Mapa final'!$AD$14="Moderado"),CONCATENATE("R1C",'Mapa final'!$Q$14),"")</f>
        <v/>
      </c>
      <c r="X16" s="96" t="str">
        <f>IF(AND('Mapa final'!$AB$15="Alta",'Mapa final'!$AD$15="Moderado"),CONCATENATE("R1C",'Mapa final'!$Q$15),"")</f>
        <v/>
      </c>
      <c r="Y16" s="96" t="e">
        <f>IF(AND('Mapa final'!#REF!="Alta",'Mapa final'!#REF!="Moderado"),CONCATENATE("R1C",'Mapa final'!#REF!),"")</f>
        <v>#REF!</v>
      </c>
      <c r="Z16" s="96" t="e">
        <f>IF(AND('Mapa final'!#REF!="Alta",'Mapa final'!#REF!="Moderado"),CONCATENATE("R1C",'Mapa final'!#REF!),"")</f>
        <v>#REF!</v>
      </c>
      <c r="AA16" s="97" t="e">
        <f>IF(AND('Mapa final'!#REF!="Alta",'Mapa final'!#REF!="Moderado"),CONCATENATE("R1C",'Mapa final'!#REF!),"")</f>
        <v>#REF!</v>
      </c>
      <c r="AB16" s="95" t="str">
        <f>IF(AND('Mapa final'!$AB$13="Alta",'Mapa final'!$AD$13="Mayor"),CONCATENATE("R1C",'Mapa final'!$Q$13),"")</f>
        <v/>
      </c>
      <c r="AC16" s="96" t="str">
        <f>IF(AND('Mapa final'!$AB$14="Alta",'Mapa final'!$AD$14="Mayor"),CONCATENATE("R1C",'Mapa final'!$Q$14),"")</f>
        <v/>
      </c>
      <c r="AD16" s="96" t="str">
        <f>IF(AND('Mapa final'!$AB$15="Alta",'Mapa final'!$AD$15="Mayor"),CONCATENATE("R1C",'Mapa final'!$Q$15),"")</f>
        <v/>
      </c>
      <c r="AE16" s="96" t="e">
        <f>IF(AND('Mapa final'!#REF!="Alta",'Mapa final'!#REF!="Mayor"),CONCATENATE("R1C",'Mapa final'!#REF!),"")</f>
        <v>#REF!</v>
      </c>
      <c r="AF16" s="96" t="e">
        <f>IF(AND('Mapa final'!#REF!="Alta",'Mapa final'!#REF!="Mayor"),CONCATENATE("R1C",'Mapa final'!#REF!),"")</f>
        <v>#REF!</v>
      </c>
      <c r="AG16" s="97" t="e">
        <f>IF(AND('Mapa final'!#REF!="Alta",'Mapa final'!#REF!="Mayor"),CONCATENATE("R1C",'Mapa final'!#REF!),"")</f>
        <v>#REF!</v>
      </c>
      <c r="AH16" s="111" t="str">
        <f>IF(AND('Mapa final'!$AB$13="Alta",'Mapa final'!$AD$13="Catastrófico"),CONCATENATE("R1C",'Mapa final'!$Q$13),"")</f>
        <v/>
      </c>
      <c r="AI16" s="112" t="str">
        <f>IF(AND('Mapa final'!$AB$14="Alta",'Mapa final'!$AD$14="Catastrófico"),CONCATENATE("R1C",'Mapa final'!$Q$14),"")</f>
        <v/>
      </c>
      <c r="AJ16" s="112" t="str">
        <f>IF(AND('Mapa final'!$AB$15="Alta",'Mapa final'!$AD$15="Catastrófico"),CONCATENATE("R1C",'Mapa final'!$Q$15),"")</f>
        <v/>
      </c>
      <c r="AK16" s="112" t="e">
        <f>IF(AND('Mapa final'!#REF!="Alta",'Mapa final'!#REF!="Catastrófico"),CONCATENATE("R1C",'Mapa final'!#REF!),"")</f>
        <v>#REF!</v>
      </c>
      <c r="AL16" s="112" t="e">
        <f>IF(AND('Mapa final'!#REF!="Alta",'Mapa final'!#REF!="Catastrófico"),CONCATENATE("R1C",'Mapa final'!#REF!),"")</f>
        <v>#REF!</v>
      </c>
      <c r="AM16" s="113" t="e">
        <f>IF(AND('Mapa final'!#REF!="Alta",'Mapa final'!#REF!="Catastrófico"),CONCATENATE("R1C",'Mapa final'!#REF!),"")</f>
        <v>#REF!</v>
      </c>
      <c r="AN16" s="37"/>
      <c r="AO16" s="511" t="s">
        <v>80</v>
      </c>
      <c r="AP16" s="512"/>
      <c r="AQ16" s="512"/>
      <c r="AR16" s="512"/>
      <c r="AS16" s="512"/>
      <c r="AT16" s="513"/>
    </row>
    <row r="17" spans="1:46" ht="15" customHeight="1" x14ac:dyDescent="0.25">
      <c r="A17" s="37"/>
      <c r="B17" s="463"/>
      <c r="C17" s="463"/>
      <c r="D17" s="464"/>
      <c r="E17" s="520"/>
      <c r="F17" s="505"/>
      <c r="G17" s="505"/>
      <c r="H17" s="505"/>
      <c r="I17" s="505"/>
      <c r="J17" s="81" t="str">
        <f>IF(AND('Mapa final'!$AB$16="Alta",'Mapa final'!$AD$16="Leve"),CONCATENATE("R2C",'Mapa final'!$Q$16),"")</f>
        <v/>
      </c>
      <c r="K17" s="79" t="e">
        <f>IF(AND('Mapa final'!#REF!="Alta",'Mapa final'!#REF!="Leve"),CONCATENATE("R2C",'Mapa final'!#REF!),"")</f>
        <v>#REF!</v>
      </c>
      <c r="L17" s="79" t="e">
        <f>IF(AND('Mapa final'!#REF!="Alta",'Mapa final'!#REF!="Leve"),CONCATENATE("R2C",'Mapa final'!#REF!),"")</f>
        <v>#REF!</v>
      </c>
      <c r="M17" s="79" t="e">
        <f>IF(AND('Mapa final'!#REF!="Alta",'Mapa final'!#REF!="Leve"),CONCATENATE("R2C",'Mapa final'!#REF!),"")</f>
        <v>#REF!</v>
      </c>
      <c r="N17" s="79" t="e">
        <f>IF(AND('Mapa final'!#REF!="Alta",'Mapa final'!#REF!="Leve"),CONCATENATE("R2C",'Mapa final'!#REF!),"")</f>
        <v>#REF!</v>
      </c>
      <c r="O17" s="80" t="e">
        <f>IF(AND('Mapa final'!#REF!="Alta",'Mapa final'!#REF!="Leve"),CONCATENATE("R2C",'Mapa final'!#REF!),"")</f>
        <v>#REF!</v>
      </c>
      <c r="P17" s="81" t="str">
        <f>IF(AND('Mapa final'!$AB$16="Alta",'Mapa final'!$AD$16="Menor"),CONCATENATE("R2C",'Mapa final'!$Q$16),"")</f>
        <v/>
      </c>
      <c r="Q17" s="79" t="e">
        <f>IF(AND('Mapa final'!#REF!="Alta",'Mapa final'!#REF!="Menor"),CONCATENATE("R2C",'Mapa final'!#REF!),"")</f>
        <v>#REF!</v>
      </c>
      <c r="R17" s="79" t="e">
        <f>IF(AND('Mapa final'!#REF!="Alta",'Mapa final'!#REF!="Menor"),CONCATENATE("R2C",'Mapa final'!#REF!),"")</f>
        <v>#REF!</v>
      </c>
      <c r="S17" s="79" t="e">
        <f>IF(AND('Mapa final'!#REF!="Alta",'Mapa final'!#REF!="Menor"),CONCATENATE("R2C",'Mapa final'!#REF!),"")</f>
        <v>#REF!</v>
      </c>
      <c r="T17" s="79" t="e">
        <f>IF(AND('Mapa final'!#REF!="Alta",'Mapa final'!#REF!="Menor"),CONCATENATE("R2C",'Mapa final'!#REF!),"")</f>
        <v>#REF!</v>
      </c>
      <c r="U17" s="80" t="e">
        <f>IF(AND('Mapa final'!#REF!="Alta",'Mapa final'!#REF!="Menor"),CONCATENATE("R2C",'Mapa final'!#REF!),"")</f>
        <v>#REF!</v>
      </c>
      <c r="V17" s="98" t="str">
        <f>IF(AND('Mapa final'!$AB$16="Alta",'Mapa final'!$AD$16="Moderado"),CONCATENATE("R2C",'Mapa final'!$Q$16),"")</f>
        <v/>
      </c>
      <c r="W17" s="99" t="e">
        <f>IF(AND('Mapa final'!#REF!="Alta",'Mapa final'!#REF!="Moderado"),CONCATENATE("R2C",'Mapa final'!#REF!),"")</f>
        <v>#REF!</v>
      </c>
      <c r="X17" s="99" t="e">
        <f>IF(AND('Mapa final'!#REF!="Alta",'Mapa final'!#REF!="Moderado"),CONCATENATE("R2C",'Mapa final'!#REF!),"")</f>
        <v>#REF!</v>
      </c>
      <c r="Y17" s="99" t="e">
        <f>IF(AND('Mapa final'!#REF!="Alta",'Mapa final'!#REF!="Moderado"),CONCATENATE("R2C",'Mapa final'!#REF!),"")</f>
        <v>#REF!</v>
      </c>
      <c r="Z17" s="99" t="e">
        <f>IF(AND('Mapa final'!#REF!="Alta",'Mapa final'!#REF!="Moderado"),CONCATENATE("R2C",'Mapa final'!#REF!),"")</f>
        <v>#REF!</v>
      </c>
      <c r="AA17" s="100" t="e">
        <f>IF(AND('Mapa final'!#REF!="Alta",'Mapa final'!#REF!="Moderado"),CONCATENATE("R2C",'Mapa final'!#REF!),"")</f>
        <v>#REF!</v>
      </c>
      <c r="AB17" s="98" t="str">
        <f>IF(AND('Mapa final'!$AB$16="Alta",'Mapa final'!$AD$16="Mayor"),CONCATENATE("R2C",'Mapa final'!$Q$16),"")</f>
        <v/>
      </c>
      <c r="AC17" s="99" t="e">
        <f>IF(AND('Mapa final'!#REF!="Alta",'Mapa final'!#REF!="Mayor"),CONCATENATE("R2C",'Mapa final'!#REF!),"")</f>
        <v>#REF!</v>
      </c>
      <c r="AD17" s="99" t="e">
        <f>IF(AND('Mapa final'!#REF!="Alta",'Mapa final'!#REF!="Mayor"),CONCATENATE("R2C",'Mapa final'!#REF!),"")</f>
        <v>#REF!</v>
      </c>
      <c r="AE17" s="99" t="e">
        <f>IF(AND('Mapa final'!#REF!="Alta",'Mapa final'!#REF!="Mayor"),CONCATENATE("R2C",'Mapa final'!#REF!),"")</f>
        <v>#REF!</v>
      </c>
      <c r="AF17" s="99" t="e">
        <f>IF(AND('Mapa final'!#REF!="Alta",'Mapa final'!#REF!="Mayor"),CONCATENATE("R2C",'Mapa final'!#REF!),"")</f>
        <v>#REF!</v>
      </c>
      <c r="AG17" s="100" t="e">
        <f>IF(AND('Mapa final'!#REF!="Alta",'Mapa final'!#REF!="Mayor"),CONCATENATE("R2C",'Mapa final'!#REF!),"")</f>
        <v>#REF!</v>
      </c>
      <c r="AH17" s="114" t="str">
        <f>IF(AND('Mapa final'!$AB$16="Alta",'Mapa final'!$AD$16="Catastrófico"),CONCATENATE("R2C",'Mapa final'!$Q$16),"")</f>
        <v/>
      </c>
      <c r="AI17" s="115" t="e">
        <f>IF(AND('Mapa final'!#REF!="Alta",'Mapa final'!#REF!="Catastrófico"),CONCATENATE("R2C",'Mapa final'!#REF!),"")</f>
        <v>#REF!</v>
      </c>
      <c r="AJ17" s="115" t="e">
        <f>IF(AND('Mapa final'!#REF!="Alta",'Mapa final'!#REF!="Catastrófico"),CONCATENATE("R2C",'Mapa final'!#REF!),"")</f>
        <v>#REF!</v>
      </c>
      <c r="AK17" s="115" t="e">
        <f>IF(AND('Mapa final'!#REF!="Alta",'Mapa final'!#REF!="Catastrófico"),CONCATENATE("R2C",'Mapa final'!#REF!),"")</f>
        <v>#REF!</v>
      </c>
      <c r="AL17" s="115" t="e">
        <f>IF(AND('Mapa final'!#REF!="Alta",'Mapa final'!#REF!="Catastrófico"),CONCATENATE("R2C",'Mapa final'!#REF!),"")</f>
        <v>#REF!</v>
      </c>
      <c r="AM17" s="116" t="e">
        <f>IF(AND('Mapa final'!#REF!="Alta",'Mapa final'!#REF!="Catastrófico"),CONCATENATE("R2C",'Mapa final'!#REF!),"")</f>
        <v>#REF!</v>
      </c>
      <c r="AN17" s="37"/>
      <c r="AO17" s="514"/>
      <c r="AP17" s="515"/>
      <c r="AQ17" s="515"/>
      <c r="AR17" s="515"/>
      <c r="AS17" s="515"/>
      <c r="AT17" s="516"/>
    </row>
    <row r="18" spans="1:46" ht="15" customHeight="1" x14ac:dyDescent="0.25">
      <c r="A18" s="37"/>
      <c r="B18" s="463"/>
      <c r="C18" s="463"/>
      <c r="D18" s="464"/>
      <c r="E18" s="504"/>
      <c r="F18" s="505"/>
      <c r="G18" s="505"/>
      <c r="H18" s="505"/>
      <c r="I18" s="505"/>
      <c r="J18" s="81" t="str">
        <f>IF(AND('Mapa final'!$AB$17="Alta",'Mapa final'!$AD$17="Leve"),CONCATENATE("R3C",'Mapa final'!$Q$17),"")</f>
        <v/>
      </c>
      <c r="K18" s="79" t="e">
        <f>IF(AND('Mapa final'!#REF!="Alta",'Mapa final'!#REF!="Leve"),CONCATENATE("R3C",'Mapa final'!#REF!),"")</f>
        <v>#REF!</v>
      </c>
      <c r="L18" s="79" t="e">
        <f>IF(AND('Mapa final'!#REF!="Alta",'Mapa final'!#REF!="Leve"),CONCATENATE("R3C",'Mapa final'!#REF!),"")</f>
        <v>#REF!</v>
      </c>
      <c r="M18" s="79" t="e">
        <f>IF(AND('Mapa final'!#REF!="Alta",'Mapa final'!#REF!="Leve"),CONCATENATE("R3C",'Mapa final'!#REF!),"")</f>
        <v>#REF!</v>
      </c>
      <c r="N18" s="79" t="e">
        <f>IF(AND('Mapa final'!#REF!="Alta",'Mapa final'!#REF!="Leve"),CONCATENATE("R3C",'Mapa final'!#REF!),"")</f>
        <v>#REF!</v>
      </c>
      <c r="O18" s="80" t="e">
        <f>IF(AND('Mapa final'!#REF!="Alta",'Mapa final'!#REF!="Leve"),CONCATENATE("R3C",'Mapa final'!#REF!),"")</f>
        <v>#REF!</v>
      </c>
      <c r="P18" s="81" t="str">
        <f>IF(AND('Mapa final'!$AB$17="Alta",'Mapa final'!$AD$17="Menor"),CONCATENATE("R3C",'Mapa final'!$Q$17),"")</f>
        <v/>
      </c>
      <c r="Q18" s="79" t="e">
        <f>IF(AND('Mapa final'!#REF!="Alta",'Mapa final'!#REF!="Menor"),CONCATENATE("R3C",'Mapa final'!#REF!),"")</f>
        <v>#REF!</v>
      </c>
      <c r="R18" s="79" t="e">
        <f>IF(AND('Mapa final'!#REF!="Alta",'Mapa final'!#REF!="Menor"),CONCATENATE("R3C",'Mapa final'!#REF!),"")</f>
        <v>#REF!</v>
      </c>
      <c r="S18" s="79" t="e">
        <f>IF(AND('Mapa final'!#REF!="Alta",'Mapa final'!#REF!="Menor"),CONCATENATE("R3C",'Mapa final'!#REF!),"")</f>
        <v>#REF!</v>
      </c>
      <c r="T18" s="79" t="e">
        <f>IF(AND('Mapa final'!#REF!="Alta",'Mapa final'!#REF!="Menor"),CONCATENATE("R3C",'Mapa final'!#REF!),"")</f>
        <v>#REF!</v>
      </c>
      <c r="U18" s="80" t="e">
        <f>IF(AND('Mapa final'!#REF!="Alta",'Mapa final'!#REF!="Menor"),CONCATENATE("R3C",'Mapa final'!#REF!),"")</f>
        <v>#REF!</v>
      </c>
      <c r="V18" s="98" t="str">
        <f>IF(AND('Mapa final'!$AB$17="Alta",'Mapa final'!$AD$17="Moderado"),CONCATENATE("R3C",'Mapa final'!$Q$17),"")</f>
        <v/>
      </c>
      <c r="W18" s="99" t="e">
        <f>IF(AND('Mapa final'!#REF!="Alta",'Mapa final'!#REF!="Moderado"),CONCATENATE("R3C",'Mapa final'!#REF!),"")</f>
        <v>#REF!</v>
      </c>
      <c r="X18" s="99" t="e">
        <f>IF(AND('Mapa final'!#REF!="Alta",'Mapa final'!#REF!="Moderado"),CONCATENATE("R3C",'Mapa final'!#REF!),"")</f>
        <v>#REF!</v>
      </c>
      <c r="Y18" s="99" t="e">
        <f>IF(AND('Mapa final'!#REF!="Alta",'Mapa final'!#REF!="Moderado"),CONCATENATE("R3C",'Mapa final'!#REF!),"")</f>
        <v>#REF!</v>
      </c>
      <c r="Z18" s="99" t="e">
        <f>IF(AND('Mapa final'!#REF!="Alta",'Mapa final'!#REF!="Moderado"),CONCATENATE("R3C",'Mapa final'!#REF!),"")</f>
        <v>#REF!</v>
      </c>
      <c r="AA18" s="100" t="e">
        <f>IF(AND('Mapa final'!#REF!="Alta",'Mapa final'!#REF!="Moderado"),CONCATENATE("R3C",'Mapa final'!#REF!),"")</f>
        <v>#REF!</v>
      </c>
      <c r="AB18" s="98" t="str">
        <f>IF(AND('Mapa final'!$AB$17="Alta",'Mapa final'!$AD$17="Mayor"),CONCATENATE("R3C",'Mapa final'!$Q$17),"")</f>
        <v/>
      </c>
      <c r="AC18" s="99" t="e">
        <f>IF(AND('Mapa final'!#REF!="Alta",'Mapa final'!#REF!="Mayor"),CONCATENATE("R3C",'Mapa final'!#REF!),"")</f>
        <v>#REF!</v>
      </c>
      <c r="AD18" s="99" t="e">
        <f>IF(AND('Mapa final'!#REF!="Alta",'Mapa final'!#REF!="Mayor"),CONCATENATE("R3C",'Mapa final'!#REF!),"")</f>
        <v>#REF!</v>
      </c>
      <c r="AE18" s="99" t="e">
        <f>IF(AND('Mapa final'!#REF!="Alta",'Mapa final'!#REF!="Mayor"),CONCATENATE("R3C",'Mapa final'!#REF!),"")</f>
        <v>#REF!</v>
      </c>
      <c r="AF18" s="99" t="e">
        <f>IF(AND('Mapa final'!#REF!="Alta",'Mapa final'!#REF!="Mayor"),CONCATENATE("R3C",'Mapa final'!#REF!),"")</f>
        <v>#REF!</v>
      </c>
      <c r="AG18" s="100" t="e">
        <f>IF(AND('Mapa final'!#REF!="Alta",'Mapa final'!#REF!="Mayor"),CONCATENATE("R3C",'Mapa final'!#REF!),"")</f>
        <v>#REF!</v>
      </c>
      <c r="AH18" s="114" t="str">
        <f>IF(AND('Mapa final'!$AB$17="Alta",'Mapa final'!$AD$17="Catastrófico"),CONCATENATE("R3C",'Mapa final'!$Q$17),"")</f>
        <v/>
      </c>
      <c r="AI18" s="115" t="e">
        <f>IF(AND('Mapa final'!#REF!="Alta",'Mapa final'!#REF!="Catastrófico"),CONCATENATE("R3C",'Mapa final'!#REF!),"")</f>
        <v>#REF!</v>
      </c>
      <c r="AJ18" s="115" t="e">
        <f>IF(AND('Mapa final'!#REF!="Alta",'Mapa final'!#REF!="Catastrófico"),CONCATENATE("R3C",'Mapa final'!#REF!),"")</f>
        <v>#REF!</v>
      </c>
      <c r="AK18" s="115" t="e">
        <f>IF(AND('Mapa final'!#REF!="Alta",'Mapa final'!#REF!="Catastrófico"),CONCATENATE("R3C",'Mapa final'!#REF!),"")</f>
        <v>#REF!</v>
      </c>
      <c r="AL18" s="115" t="e">
        <f>IF(AND('Mapa final'!#REF!="Alta",'Mapa final'!#REF!="Catastrófico"),CONCATENATE("R3C",'Mapa final'!#REF!),"")</f>
        <v>#REF!</v>
      </c>
      <c r="AM18" s="116" t="e">
        <f>IF(AND('Mapa final'!#REF!="Alta",'Mapa final'!#REF!="Catastrófico"),CONCATENATE("R3C",'Mapa final'!#REF!),"")</f>
        <v>#REF!</v>
      </c>
      <c r="AN18" s="37"/>
      <c r="AO18" s="514"/>
      <c r="AP18" s="515"/>
      <c r="AQ18" s="515"/>
      <c r="AR18" s="515"/>
      <c r="AS18" s="515"/>
      <c r="AT18" s="516"/>
    </row>
    <row r="19" spans="1:46" ht="15" customHeight="1" x14ac:dyDescent="0.25">
      <c r="A19" s="37"/>
      <c r="B19" s="463"/>
      <c r="C19" s="463"/>
      <c r="D19" s="464"/>
      <c r="E19" s="504"/>
      <c r="F19" s="505"/>
      <c r="G19" s="505"/>
      <c r="H19" s="505"/>
      <c r="I19" s="505"/>
      <c r="J19" s="81" t="str">
        <f>IF(AND('Mapa final'!$AB$18="Alta",'Mapa final'!$AD$18="Leve"),CONCATENATE("R4C",'Mapa final'!$Q$18),"")</f>
        <v/>
      </c>
      <c r="K19" s="79" t="e">
        <f>IF(AND('Mapa final'!#REF!="Alta",'Mapa final'!#REF!="Leve"),CONCATENATE("R4C",'Mapa final'!#REF!),"")</f>
        <v>#REF!</v>
      </c>
      <c r="L19" s="79" t="e">
        <f>IF(AND('Mapa final'!#REF!="Alta",'Mapa final'!#REF!="Leve"),CONCATENATE("R4C",'Mapa final'!#REF!),"")</f>
        <v>#REF!</v>
      </c>
      <c r="M19" s="79" t="e">
        <f>IF(AND('Mapa final'!#REF!="Alta",'Mapa final'!#REF!="Leve"),CONCATENATE("R4C",'Mapa final'!#REF!),"")</f>
        <v>#REF!</v>
      </c>
      <c r="N19" s="79" t="e">
        <f>IF(AND('Mapa final'!#REF!="Alta",'Mapa final'!#REF!="Leve"),CONCATENATE("R4C",'Mapa final'!#REF!),"")</f>
        <v>#REF!</v>
      </c>
      <c r="O19" s="80" t="e">
        <f>IF(AND('Mapa final'!#REF!="Alta",'Mapa final'!#REF!="Leve"),CONCATENATE("R4C",'Mapa final'!#REF!),"")</f>
        <v>#REF!</v>
      </c>
      <c r="P19" s="81" t="str">
        <f>IF(AND('Mapa final'!$AB$18="Alta",'Mapa final'!$AD$18="Menor"),CONCATENATE("R4C",'Mapa final'!$Q$18),"")</f>
        <v/>
      </c>
      <c r="Q19" s="79" t="e">
        <f>IF(AND('Mapa final'!#REF!="Alta",'Mapa final'!#REF!="Menor"),CONCATENATE("R4C",'Mapa final'!#REF!),"")</f>
        <v>#REF!</v>
      </c>
      <c r="R19" s="79" t="e">
        <f>IF(AND('Mapa final'!#REF!="Alta",'Mapa final'!#REF!="Menor"),CONCATENATE("R4C",'Mapa final'!#REF!),"")</f>
        <v>#REF!</v>
      </c>
      <c r="S19" s="79" t="e">
        <f>IF(AND('Mapa final'!#REF!="Alta",'Mapa final'!#REF!="Menor"),CONCATENATE("R4C",'Mapa final'!#REF!),"")</f>
        <v>#REF!</v>
      </c>
      <c r="T19" s="79" t="e">
        <f>IF(AND('Mapa final'!#REF!="Alta",'Mapa final'!#REF!="Menor"),CONCATENATE("R4C",'Mapa final'!#REF!),"")</f>
        <v>#REF!</v>
      </c>
      <c r="U19" s="80" t="e">
        <f>IF(AND('Mapa final'!#REF!="Alta",'Mapa final'!#REF!="Menor"),CONCATENATE("R4C",'Mapa final'!#REF!),"")</f>
        <v>#REF!</v>
      </c>
      <c r="V19" s="98" t="str">
        <f>IF(AND('Mapa final'!$AB$18="Alta",'Mapa final'!$AD$18="Moderado"),CONCATENATE("R4C",'Mapa final'!$Q$18),"")</f>
        <v/>
      </c>
      <c r="W19" s="99" t="e">
        <f>IF(AND('Mapa final'!#REF!="Alta",'Mapa final'!#REF!="Moderado"),CONCATENATE("R4C",'Mapa final'!#REF!),"")</f>
        <v>#REF!</v>
      </c>
      <c r="X19" s="99" t="e">
        <f>IF(AND('Mapa final'!#REF!="Alta",'Mapa final'!#REF!="Moderado"),CONCATENATE("R4C",'Mapa final'!#REF!),"")</f>
        <v>#REF!</v>
      </c>
      <c r="Y19" s="99" t="e">
        <f>IF(AND('Mapa final'!#REF!="Alta",'Mapa final'!#REF!="Moderado"),CONCATENATE("R4C",'Mapa final'!#REF!),"")</f>
        <v>#REF!</v>
      </c>
      <c r="Z19" s="99" t="e">
        <f>IF(AND('Mapa final'!#REF!="Alta",'Mapa final'!#REF!="Moderado"),CONCATENATE("R4C",'Mapa final'!#REF!),"")</f>
        <v>#REF!</v>
      </c>
      <c r="AA19" s="100" t="e">
        <f>IF(AND('Mapa final'!#REF!="Alta",'Mapa final'!#REF!="Moderado"),CONCATENATE("R4C",'Mapa final'!#REF!),"")</f>
        <v>#REF!</v>
      </c>
      <c r="AB19" s="98" t="str">
        <f>IF(AND('Mapa final'!$AB$18="Alta",'Mapa final'!$AD$18="Mayor"),CONCATENATE("R4C",'Mapa final'!$Q$18),"")</f>
        <v/>
      </c>
      <c r="AC19" s="99" t="e">
        <f>IF(AND('Mapa final'!#REF!="Alta",'Mapa final'!#REF!="Mayor"),CONCATENATE("R4C",'Mapa final'!#REF!),"")</f>
        <v>#REF!</v>
      </c>
      <c r="AD19" s="99" t="e">
        <f>IF(AND('Mapa final'!#REF!="Alta",'Mapa final'!#REF!="Mayor"),CONCATENATE("R4C",'Mapa final'!#REF!),"")</f>
        <v>#REF!</v>
      </c>
      <c r="AE19" s="99" t="e">
        <f>IF(AND('Mapa final'!#REF!="Alta",'Mapa final'!#REF!="Mayor"),CONCATENATE("R4C",'Mapa final'!#REF!),"")</f>
        <v>#REF!</v>
      </c>
      <c r="AF19" s="99" t="e">
        <f>IF(AND('Mapa final'!#REF!="Alta",'Mapa final'!#REF!="Mayor"),CONCATENATE("R4C",'Mapa final'!#REF!),"")</f>
        <v>#REF!</v>
      </c>
      <c r="AG19" s="100" t="e">
        <f>IF(AND('Mapa final'!#REF!="Alta",'Mapa final'!#REF!="Mayor"),CONCATENATE("R4C",'Mapa final'!#REF!),"")</f>
        <v>#REF!</v>
      </c>
      <c r="AH19" s="114" t="str">
        <f>IF(AND('Mapa final'!$AB$18="Alta",'Mapa final'!$AD$18="Catastrófico"),CONCATENATE("R4C",'Mapa final'!$Q$18),"")</f>
        <v/>
      </c>
      <c r="AI19" s="115" t="e">
        <f>IF(AND('Mapa final'!#REF!="Alta",'Mapa final'!#REF!="Catastrófico"),CONCATENATE("R4C",'Mapa final'!#REF!),"")</f>
        <v>#REF!</v>
      </c>
      <c r="AJ19" s="115" t="e">
        <f>IF(AND('Mapa final'!#REF!="Alta",'Mapa final'!#REF!="Catastrófico"),CONCATENATE("R4C",'Mapa final'!#REF!),"")</f>
        <v>#REF!</v>
      </c>
      <c r="AK19" s="115" t="e">
        <f>IF(AND('Mapa final'!#REF!="Alta",'Mapa final'!#REF!="Catastrófico"),CONCATENATE("R4C",'Mapa final'!#REF!),"")</f>
        <v>#REF!</v>
      </c>
      <c r="AL19" s="115" t="e">
        <f>IF(AND('Mapa final'!#REF!="Alta",'Mapa final'!#REF!="Catastrófico"),CONCATENATE("R4C",'Mapa final'!#REF!),"")</f>
        <v>#REF!</v>
      </c>
      <c r="AM19" s="116" t="e">
        <f>IF(AND('Mapa final'!#REF!="Alta",'Mapa final'!#REF!="Catastrófico"),CONCATENATE("R4C",'Mapa final'!#REF!),"")</f>
        <v>#REF!</v>
      </c>
      <c r="AN19" s="37"/>
      <c r="AO19" s="514"/>
      <c r="AP19" s="515"/>
      <c r="AQ19" s="515"/>
      <c r="AR19" s="515"/>
      <c r="AS19" s="515"/>
      <c r="AT19" s="516"/>
    </row>
    <row r="20" spans="1:46" ht="15" customHeight="1" x14ac:dyDescent="0.25">
      <c r="A20" s="37"/>
      <c r="B20" s="463"/>
      <c r="C20" s="463"/>
      <c r="D20" s="464"/>
      <c r="E20" s="504"/>
      <c r="F20" s="505"/>
      <c r="G20" s="505"/>
      <c r="H20" s="505"/>
      <c r="I20" s="505"/>
      <c r="J20" s="81" t="str">
        <f>IF(AND('Mapa final'!$AB$19="Alta",'Mapa final'!$AD$19="Leve"),CONCATENATE("R5C",'Mapa final'!$Q$19),"")</f>
        <v/>
      </c>
      <c r="K20" s="79" t="str">
        <f>IF(AND('Mapa final'!$AB$20="Alta",'Mapa final'!$AD$20="Leve"),CONCATENATE("R5C",'Mapa final'!$Q$20),"")</f>
        <v/>
      </c>
      <c r="L20" s="79" t="e">
        <f>IF(AND('Mapa final'!#REF!="Alta",'Mapa final'!#REF!="Leve"),CONCATENATE("R5C",'Mapa final'!#REF!),"")</f>
        <v>#REF!</v>
      </c>
      <c r="M20" s="79" t="e">
        <f>IF(AND('Mapa final'!#REF!="Alta",'Mapa final'!#REF!="Leve"),CONCATENATE("R5C",'Mapa final'!#REF!),"")</f>
        <v>#REF!</v>
      </c>
      <c r="N20" s="79" t="e">
        <f>IF(AND('Mapa final'!#REF!="Alta",'Mapa final'!#REF!="Leve"),CONCATENATE("R5C",'Mapa final'!#REF!),"")</f>
        <v>#REF!</v>
      </c>
      <c r="O20" s="80" t="e">
        <f>IF(AND('Mapa final'!#REF!="Alta",'Mapa final'!#REF!="Leve"),CONCATENATE("R5C",'Mapa final'!#REF!),"")</f>
        <v>#REF!</v>
      </c>
      <c r="P20" s="81" t="str">
        <f>IF(AND('Mapa final'!$AB$19="Alta",'Mapa final'!$AD$19="Menor"),CONCATENATE("R5C",'Mapa final'!$Q$19),"")</f>
        <v/>
      </c>
      <c r="Q20" s="79" t="str">
        <f>IF(AND('Mapa final'!$AB$20="Alta",'Mapa final'!$AD$20="Menor"),CONCATENATE("R5C",'Mapa final'!$Q$20),"")</f>
        <v/>
      </c>
      <c r="R20" s="79" t="e">
        <f>IF(AND('Mapa final'!#REF!="Alta",'Mapa final'!#REF!="Menor"),CONCATENATE("R5C",'Mapa final'!#REF!),"")</f>
        <v>#REF!</v>
      </c>
      <c r="S20" s="79" t="e">
        <f>IF(AND('Mapa final'!#REF!="Alta",'Mapa final'!#REF!="Menor"),CONCATENATE("R5C",'Mapa final'!#REF!),"")</f>
        <v>#REF!</v>
      </c>
      <c r="T20" s="79" t="e">
        <f>IF(AND('Mapa final'!#REF!="Alta",'Mapa final'!#REF!="Menor"),CONCATENATE("R5C",'Mapa final'!#REF!),"")</f>
        <v>#REF!</v>
      </c>
      <c r="U20" s="80" t="e">
        <f>IF(AND('Mapa final'!#REF!="Alta",'Mapa final'!#REF!="Menor"),CONCATENATE("R5C",'Mapa final'!#REF!),"")</f>
        <v>#REF!</v>
      </c>
      <c r="V20" s="98" t="str">
        <f>IF(AND('Mapa final'!$AB$19="Alta",'Mapa final'!$AD$19="Moderado"),CONCATENATE("R5C",'Mapa final'!$Q$19),"")</f>
        <v/>
      </c>
      <c r="W20" s="99" t="str">
        <f>IF(AND('Mapa final'!$AB$20="Alta",'Mapa final'!$AD$20="Moderado"),CONCATENATE("R5C",'Mapa final'!$Q$20),"")</f>
        <v/>
      </c>
      <c r="X20" s="99" t="e">
        <f>IF(AND('Mapa final'!#REF!="Alta",'Mapa final'!#REF!="Moderado"),CONCATENATE("R5C",'Mapa final'!#REF!),"")</f>
        <v>#REF!</v>
      </c>
      <c r="Y20" s="99" t="e">
        <f>IF(AND('Mapa final'!#REF!="Alta",'Mapa final'!#REF!="Moderado"),CONCATENATE("R5C",'Mapa final'!#REF!),"")</f>
        <v>#REF!</v>
      </c>
      <c r="Z20" s="99" t="e">
        <f>IF(AND('Mapa final'!#REF!="Alta",'Mapa final'!#REF!="Moderado"),CONCATENATE("R5C",'Mapa final'!#REF!),"")</f>
        <v>#REF!</v>
      </c>
      <c r="AA20" s="100" t="e">
        <f>IF(AND('Mapa final'!#REF!="Alta",'Mapa final'!#REF!="Moderado"),CONCATENATE("R5C",'Mapa final'!#REF!),"")</f>
        <v>#REF!</v>
      </c>
      <c r="AB20" s="98" t="str">
        <f>IF(AND('Mapa final'!$AB$19="Alta",'Mapa final'!$AD$19="Mayor"),CONCATENATE("R5C",'Mapa final'!$Q$19),"")</f>
        <v/>
      </c>
      <c r="AC20" s="99" t="str">
        <f>IF(AND('Mapa final'!$AB$20="Alta",'Mapa final'!$AD$20="Mayor"),CONCATENATE("R5C",'Mapa final'!$Q$20),"")</f>
        <v/>
      </c>
      <c r="AD20" s="99" t="e">
        <f>IF(AND('Mapa final'!#REF!="Alta",'Mapa final'!#REF!="Mayor"),CONCATENATE("R5C",'Mapa final'!#REF!),"")</f>
        <v>#REF!</v>
      </c>
      <c r="AE20" s="99" t="e">
        <f>IF(AND('Mapa final'!#REF!="Alta",'Mapa final'!#REF!="Mayor"),CONCATENATE("R5C",'Mapa final'!#REF!),"")</f>
        <v>#REF!</v>
      </c>
      <c r="AF20" s="99" t="e">
        <f>IF(AND('Mapa final'!#REF!="Alta",'Mapa final'!#REF!="Mayor"),CONCATENATE("R5C",'Mapa final'!#REF!),"")</f>
        <v>#REF!</v>
      </c>
      <c r="AG20" s="100" t="e">
        <f>IF(AND('Mapa final'!#REF!="Alta",'Mapa final'!#REF!="Mayor"),CONCATENATE("R5C",'Mapa final'!#REF!),"")</f>
        <v>#REF!</v>
      </c>
      <c r="AH20" s="114" t="str">
        <f>IF(AND('Mapa final'!$AB$19="Alta",'Mapa final'!$AD$19="Catastrófico"),CONCATENATE("R5C",'Mapa final'!$Q$19),"")</f>
        <v/>
      </c>
      <c r="AI20" s="115" t="str">
        <f>IF(AND('Mapa final'!$AB$20="Alta",'Mapa final'!$AD$20="Catastrófico"),CONCATENATE("R5C",'Mapa final'!$Q$20),"")</f>
        <v/>
      </c>
      <c r="AJ20" s="115" t="e">
        <f>IF(AND('Mapa final'!#REF!="Alta",'Mapa final'!#REF!="Catastrófico"),CONCATENATE("R5C",'Mapa final'!#REF!),"")</f>
        <v>#REF!</v>
      </c>
      <c r="AK20" s="115" t="e">
        <f>IF(AND('Mapa final'!#REF!="Alta",'Mapa final'!#REF!="Catastrófico"),CONCATENATE("R5C",'Mapa final'!#REF!),"")</f>
        <v>#REF!</v>
      </c>
      <c r="AL20" s="115" t="e">
        <f>IF(AND('Mapa final'!#REF!="Alta",'Mapa final'!#REF!="Catastrófico"),CONCATENATE("R5C",'Mapa final'!#REF!),"")</f>
        <v>#REF!</v>
      </c>
      <c r="AM20" s="116" t="e">
        <f>IF(AND('Mapa final'!#REF!="Alta",'Mapa final'!#REF!="Catastrófico"),CONCATENATE("R5C",'Mapa final'!#REF!),"")</f>
        <v>#REF!</v>
      </c>
      <c r="AN20" s="37"/>
      <c r="AO20" s="514"/>
      <c r="AP20" s="515"/>
      <c r="AQ20" s="515"/>
      <c r="AR20" s="515"/>
      <c r="AS20" s="515"/>
      <c r="AT20" s="516"/>
    </row>
    <row r="21" spans="1:46" ht="15" customHeight="1" x14ac:dyDescent="0.25">
      <c r="A21" s="37"/>
      <c r="B21" s="463"/>
      <c r="C21" s="463"/>
      <c r="D21" s="464"/>
      <c r="E21" s="504"/>
      <c r="F21" s="505"/>
      <c r="G21" s="505"/>
      <c r="H21" s="505"/>
      <c r="I21" s="505"/>
      <c r="J21" s="81" t="str">
        <f>IF(AND('Mapa final'!$AB$21="Alta",'Mapa final'!$AD$21="Leve"),CONCATENATE("R6C",'Mapa final'!$Q$21),"")</f>
        <v/>
      </c>
      <c r="K21" s="79" t="e">
        <f>IF(AND('Mapa final'!#REF!="Alta",'Mapa final'!#REF!="Leve"),CONCATENATE("R6C",'Mapa final'!#REF!),"")</f>
        <v>#REF!</v>
      </c>
      <c r="L21" s="79" t="e">
        <f>IF(AND('Mapa final'!#REF!="Alta",'Mapa final'!#REF!="Leve"),CONCATENATE("R6C",'Mapa final'!#REF!),"")</f>
        <v>#REF!</v>
      </c>
      <c r="M21" s="79" t="e">
        <f>IF(AND('Mapa final'!#REF!="Alta",'Mapa final'!#REF!="Leve"),CONCATENATE("R6C",'Mapa final'!#REF!),"")</f>
        <v>#REF!</v>
      </c>
      <c r="N21" s="79" t="e">
        <f>IF(AND('Mapa final'!#REF!="Alta",'Mapa final'!#REF!="Leve"),CONCATENATE("R6C",'Mapa final'!#REF!),"")</f>
        <v>#REF!</v>
      </c>
      <c r="O21" s="80" t="e">
        <f>IF(AND('Mapa final'!#REF!="Alta",'Mapa final'!#REF!="Leve"),CONCATENATE("R6C",'Mapa final'!#REF!),"")</f>
        <v>#REF!</v>
      </c>
      <c r="P21" s="81" t="str">
        <f>IF(AND('Mapa final'!$AB$21="Alta",'Mapa final'!$AD$21="Menor"),CONCATENATE("R6C",'Mapa final'!$Q$21),"")</f>
        <v/>
      </c>
      <c r="Q21" s="79" t="e">
        <f>IF(AND('Mapa final'!#REF!="Alta",'Mapa final'!#REF!="Menor"),CONCATENATE("R6C",'Mapa final'!#REF!),"")</f>
        <v>#REF!</v>
      </c>
      <c r="R21" s="79" t="e">
        <f>IF(AND('Mapa final'!#REF!="Alta",'Mapa final'!#REF!="Menor"),CONCATENATE("R6C",'Mapa final'!#REF!),"")</f>
        <v>#REF!</v>
      </c>
      <c r="S21" s="79" t="e">
        <f>IF(AND('Mapa final'!#REF!="Alta",'Mapa final'!#REF!="Menor"),CONCATENATE("R6C",'Mapa final'!#REF!),"")</f>
        <v>#REF!</v>
      </c>
      <c r="T21" s="79" t="e">
        <f>IF(AND('Mapa final'!#REF!="Alta",'Mapa final'!#REF!="Menor"),CONCATENATE("R6C",'Mapa final'!#REF!),"")</f>
        <v>#REF!</v>
      </c>
      <c r="U21" s="80" t="e">
        <f>IF(AND('Mapa final'!#REF!="Alta",'Mapa final'!#REF!="Menor"),CONCATENATE("R6C",'Mapa final'!#REF!),"")</f>
        <v>#REF!</v>
      </c>
      <c r="V21" s="98" t="str">
        <f>IF(AND('Mapa final'!$AB$21="Alta",'Mapa final'!$AD$21="Moderado"),CONCATENATE("R6C",'Mapa final'!$Q$21),"")</f>
        <v/>
      </c>
      <c r="W21" s="99" t="e">
        <f>IF(AND('Mapa final'!#REF!="Alta",'Mapa final'!#REF!="Moderado"),CONCATENATE("R6C",'Mapa final'!#REF!),"")</f>
        <v>#REF!</v>
      </c>
      <c r="X21" s="99" t="e">
        <f>IF(AND('Mapa final'!#REF!="Alta",'Mapa final'!#REF!="Moderado"),CONCATENATE("R6C",'Mapa final'!#REF!),"")</f>
        <v>#REF!</v>
      </c>
      <c r="Y21" s="99" t="e">
        <f>IF(AND('Mapa final'!#REF!="Alta",'Mapa final'!#REF!="Moderado"),CONCATENATE("R6C",'Mapa final'!#REF!),"")</f>
        <v>#REF!</v>
      </c>
      <c r="Z21" s="99" t="e">
        <f>IF(AND('Mapa final'!#REF!="Alta",'Mapa final'!#REF!="Moderado"),CONCATENATE("R6C",'Mapa final'!#REF!),"")</f>
        <v>#REF!</v>
      </c>
      <c r="AA21" s="100" t="e">
        <f>IF(AND('Mapa final'!#REF!="Alta",'Mapa final'!#REF!="Moderado"),CONCATENATE("R6C",'Mapa final'!#REF!),"")</f>
        <v>#REF!</v>
      </c>
      <c r="AB21" s="98" t="str">
        <f>IF(AND('Mapa final'!$AB$21="Alta",'Mapa final'!$AD$21="Mayor"),CONCATENATE("R6C",'Mapa final'!$Q$21),"")</f>
        <v/>
      </c>
      <c r="AC21" s="99" t="e">
        <f>IF(AND('Mapa final'!#REF!="Alta",'Mapa final'!#REF!="Mayor"),CONCATENATE("R6C",'Mapa final'!#REF!),"")</f>
        <v>#REF!</v>
      </c>
      <c r="AD21" s="99" t="e">
        <f>IF(AND('Mapa final'!#REF!="Alta",'Mapa final'!#REF!="Mayor"),CONCATENATE("R6C",'Mapa final'!#REF!),"")</f>
        <v>#REF!</v>
      </c>
      <c r="AE21" s="99" t="e">
        <f>IF(AND('Mapa final'!#REF!="Alta",'Mapa final'!#REF!="Mayor"),CONCATENATE("R6C",'Mapa final'!#REF!),"")</f>
        <v>#REF!</v>
      </c>
      <c r="AF21" s="99" t="e">
        <f>IF(AND('Mapa final'!#REF!="Alta",'Mapa final'!#REF!="Mayor"),CONCATENATE("R6C",'Mapa final'!#REF!),"")</f>
        <v>#REF!</v>
      </c>
      <c r="AG21" s="100" t="e">
        <f>IF(AND('Mapa final'!#REF!="Alta",'Mapa final'!#REF!="Mayor"),CONCATENATE("R6C",'Mapa final'!#REF!),"")</f>
        <v>#REF!</v>
      </c>
      <c r="AH21" s="114" t="str">
        <f>IF(AND('Mapa final'!$AB$21="Alta",'Mapa final'!$AD$21="Catastrófico"),CONCATENATE("R6C",'Mapa final'!$Q$21),"")</f>
        <v/>
      </c>
      <c r="AI21" s="115" t="e">
        <f>IF(AND('Mapa final'!#REF!="Alta",'Mapa final'!#REF!="Catastrófico"),CONCATENATE("R6C",'Mapa final'!#REF!),"")</f>
        <v>#REF!</v>
      </c>
      <c r="AJ21" s="115" t="e">
        <f>IF(AND('Mapa final'!#REF!="Alta",'Mapa final'!#REF!="Catastrófico"),CONCATENATE("R6C",'Mapa final'!#REF!),"")</f>
        <v>#REF!</v>
      </c>
      <c r="AK21" s="115" t="e">
        <f>IF(AND('Mapa final'!#REF!="Alta",'Mapa final'!#REF!="Catastrófico"),CONCATENATE("R6C",'Mapa final'!#REF!),"")</f>
        <v>#REF!</v>
      </c>
      <c r="AL21" s="115" t="e">
        <f>IF(AND('Mapa final'!#REF!="Alta",'Mapa final'!#REF!="Catastrófico"),CONCATENATE("R6C",'Mapa final'!#REF!),"")</f>
        <v>#REF!</v>
      </c>
      <c r="AM21" s="116" t="e">
        <f>IF(AND('Mapa final'!#REF!="Alta",'Mapa final'!#REF!="Catastrófico"),CONCATENATE("R6C",'Mapa final'!#REF!),"")</f>
        <v>#REF!</v>
      </c>
      <c r="AN21" s="37"/>
      <c r="AO21" s="514"/>
      <c r="AP21" s="515"/>
      <c r="AQ21" s="515"/>
      <c r="AR21" s="515"/>
      <c r="AS21" s="515"/>
      <c r="AT21" s="516"/>
    </row>
    <row r="22" spans="1:46" ht="15" customHeight="1" x14ac:dyDescent="0.25">
      <c r="A22" s="37"/>
      <c r="B22" s="463"/>
      <c r="C22" s="463"/>
      <c r="D22" s="464"/>
      <c r="E22" s="504"/>
      <c r="F22" s="505"/>
      <c r="G22" s="505"/>
      <c r="H22" s="505"/>
      <c r="I22" s="505"/>
      <c r="J22" s="81" t="str">
        <f>IF(AND('Mapa final'!$AB$22="Alta",'Mapa final'!$AD$22="Leve"),CONCATENATE("R7C",'Mapa final'!$Q$22),"")</f>
        <v/>
      </c>
      <c r="K22" s="79" t="e">
        <f>IF(AND('Mapa final'!#REF!="Alta",'Mapa final'!#REF!="Leve"),CONCATENATE("R7C",'Mapa final'!#REF!),"")</f>
        <v>#REF!</v>
      </c>
      <c r="L22" s="79" t="e">
        <f>IF(AND('Mapa final'!#REF!="Alta",'Mapa final'!#REF!="Leve"),CONCATENATE("R7C",'Mapa final'!#REF!),"")</f>
        <v>#REF!</v>
      </c>
      <c r="M22" s="79" t="e">
        <f>IF(AND('Mapa final'!#REF!="Alta",'Mapa final'!#REF!="Leve"),CONCATENATE("R7C",'Mapa final'!#REF!),"")</f>
        <v>#REF!</v>
      </c>
      <c r="N22" s="79" t="e">
        <f>IF(AND('Mapa final'!#REF!="Alta",'Mapa final'!#REF!="Leve"),CONCATENATE("R7C",'Mapa final'!#REF!),"")</f>
        <v>#REF!</v>
      </c>
      <c r="O22" s="80" t="e">
        <f>IF(AND('Mapa final'!#REF!="Alta",'Mapa final'!#REF!="Leve"),CONCATENATE("R7C",'Mapa final'!#REF!),"")</f>
        <v>#REF!</v>
      </c>
      <c r="P22" s="81" t="str">
        <f>IF(AND('Mapa final'!$AB$22="Alta",'Mapa final'!$AD$22="Menor"),CONCATENATE("R7C",'Mapa final'!$Q$22),"")</f>
        <v/>
      </c>
      <c r="Q22" s="79" t="e">
        <f>IF(AND('Mapa final'!#REF!="Alta",'Mapa final'!#REF!="Menor"),CONCATENATE("R7C",'Mapa final'!#REF!),"")</f>
        <v>#REF!</v>
      </c>
      <c r="R22" s="79" t="e">
        <f>IF(AND('Mapa final'!#REF!="Alta",'Mapa final'!#REF!="Menor"),CONCATENATE("R7C",'Mapa final'!#REF!),"")</f>
        <v>#REF!</v>
      </c>
      <c r="S22" s="79" t="e">
        <f>IF(AND('Mapa final'!#REF!="Alta",'Mapa final'!#REF!="Menor"),CONCATENATE("R7C",'Mapa final'!#REF!),"")</f>
        <v>#REF!</v>
      </c>
      <c r="T22" s="79" t="e">
        <f>IF(AND('Mapa final'!#REF!="Alta",'Mapa final'!#REF!="Menor"),CONCATENATE("R7C",'Mapa final'!#REF!),"")</f>
        <v>#REF!</v>
      </c>
      <c r="U22" s="80" t="e">
        <f>IF(AND('Mapa final'!#REF!="Alta",'Mapa final'!#REF!="Menor"),CONCATENATE("R7C",'Mapa final'!#REF!),"")</f>
        <v>#REF!</v>
      </c>
      <c r="V22" s="98" t="str">
        <f>IF(AND('Mapa final'!$AB$22="Alta",'Mapa final'!$AD$22="Moderado"),CONCATENATE("R7C",'Mapa final'!$Q$22),"")</f>
        <v/>
      </c>
      <c r="W22" s="99" t="e">
        <f>IF(AND('Mapa final'!#REF!="Alta",'Mapa final'!#REF!="Moderado"),CONCATENATE("R7C",'Mapa final'!#REF!),"")</f>
        <v>#REF!</v>
      </c>
      <c r="X22" s="99" t="e">
        <f>IF(AND('Mapa final'!#REF!="Alta",'Mapa final'!#REF!="Moderado"),CONCATENATE("R7C",'Mapa final'!#REF!),"")</f>
        <v>#REF!</v>
      </c>
      <c r="Y22" s="99" t="e">
        <f>IF(AND('Mapa final'!#REF!="Alta",'Mapa final'!#REF!="Moderado"),CONCATENATE("R7C",'Mapa final'!#REF!),"")</f>
        <v>#REF!</v>
      </c>
      <c r="Z22" s="99" t="e">
        <f>IF(AND('Mapa final'!#REF!="Alta",'Mapa final'!#REF!="Moderado"),CONCATENATE("R7C",'Mapa final'!#REF!),"")</f>
        <v>#REF!</v>
      </c>
      <c r="AA22" s="100" t="e">
        <f>IF(AND('Mapa final'!#REF!="Alta",'Mapa final'!#REF!="Moderado"),CONCATENATE("R7C",'Mapa final'!#REF!),"")</f>
        <v>#REF!</v>
      </c>
      <c r="AB22" s="98" t="str">
        <f>IF(AND('Mapa final'!$AB$22="Alta",'Mapa final'!$AD$22="Mayor"),CONCATENATE("R7C",'Mapa final'!$Q$22),"")</f>
        <v/>
      </c>
      <c r="AC22" s="99" t="e">
        <f>IF(AND('Mapa final'!#REF!="Alta",'Mapa final'!#REF!="Mayor"),CONCATENATE("R7C",'Mapa final'!#REF!),"")</f>
        <v>#REF!</v>
      </c>
      <c r="AD22" s="99" t="e">
        <f>IF(AND('Mapa final'!#REF!="Alta",'Mapa final'!#REF!="Mayor"),CONCATENATE("R7C",'Mapa final'!#REF!),"")</f>
        <v>#REF!</v>
      </c>
      <c r="AE22" s="99" t="e">
        <f>IF(AND('Mapa final'!#REF!="Alta",'Mapa final'!#REF!="Mayor"),CONCATENATE("R7C",'Mapa final'!#REF!),"")</f>
        <v>#REF!</v>
      </c>
      <c r="AF22" s="99" t="e">
        <f>IF(AND('Mapa final'!#REF!="Alta",'Mapa final'!#REF!="Mayor"),CONCATENATE("R7C",'Mapa final'!#REF!),"")</f>
        <v>#REF!</v>
      </c>
      <c r="AG22" s="100" t="e">
        <f>IF(AND('Mapa final'!#REF!="Alta",'Mapa final'!#REF!="Mayor"),CONCATENATE("R7C",'Mapa final'!#REF!),"")</f>
        <v>#REF!</v>
      </c>
      <c r="AH22" s="114" t="str">
        <f>IF(AND('Mapa final'!$AB$22="Alta",'Mapa final'!$AD$22="Catastrófico"),CONCATENATE("R7C",'Mapa final'!$Q$22),"")</f>
        <v/>
      </c>
      <c r="AI22" s="115" t="e">
        <f>IF(AND('Mapa final'!#REF!="Alta",'Mapa final'!#REF!="Catastrófico"),CONCATENATE("R7C",'Mapa final'!#REF!),"")</f>
        <v>#REF!</v>
      </c>
      <c r="AJ22" s="115" t="e">
        <f>IF(AND('Mapa final'!#REF!="Alta",'Mapa final'!#REF!="Catastrófico"),CONCATENATE("R7C",'Mapa final'!#REF!),"")</f>
        <v>#REF!</v>
      </c>
      <c r="AK22" s="115" t="e">
        <f>IF(AND('Mapa final'!#REF!="Alta",'Mapa final'!#REF!="Catastrófico"),CONCATENATE("R7C",'Mapa final'!#REF!),"")</f>
        <v>#REF!</v>
      </c>
      <c r="AL22" s="115" t="e">
        <f>IF(AND('Mapa final'!#REF!="Alta",'Mapa final'!#REF!="Catastrófico"),CONCATENATE("R7C",'Mapa final'!#REF!),"")</f>
        <v>#REF!</v>
      </c>
      <c r="AM22" s="116" t="e">
        <f>IF(AND('Mapa final'!#REF!="Alta",'Mapa final'!#REF!="Catastrófico"),CONCATENATE("R7C",'Mapa final'!#REF!),"")</f>
        <v>#REF!</v>
      </c>
      <c r="AN22" s="37"/>
      <c r="AO22" s="514"/>
      <c r="AP22" s="515"/>
      <c r="AQ22" s="515"/>
      <c r="AR22" s="515"/>
      <c r="AS22" s="515"/>
      <c r="AT22" s="516"/>
    </row>
    <row r="23" spans="1:46" ht="15" customHeight="1" x14ac:dyDescent="0.25">
      <c r="A23" s="37"/>
      <c r="B23" s="463"/>
      <c r="C23" s="463"/>
      <c r="D23" s="464"/>
      <c r="E23" s="504"/>
      <c r="F23" s="505"/>
      <c r="G23" s="505"/>
      <c r="H23" s="505"/>
      <c r="I23" s="505"/>
      <c r="J23" s="81" t="str">
        <f>IF(AND('Mapa final'!$AB$23="Alta",'Mapa final'!$AD$23="Leve"),CONCATENATE("R8C",'Mapa final'!$Q$23),"")</f>
        <v/>
      </c>
      <c r="K23" s="79" t="e">
        <f>IF(AND('Mapa final'!#REF!="Alta",'Mapa final'!#REF!="Leve"),CONCATENATE("R8C",'Mapa final'!#REF!),"")</f>
        <v>#REF!</v>
      </c>
      <c r="L23" s="79" t="e">
        <f>IF(AND('Mapa final'!#REF!="Alta",'Mapa final'!#REF!="Leve"),CONCATENATE("R8C",'Mapa final'!#REF!),"")</f>
        <v>#REF!</v>
      </c>
      <c r="M23" s="79" t="e">
        <f>IF(AND('Mapa final'!#REF!="Alta",'Mapa final'!#REF!="Leve"),CONCATENATE("R8C",'Mapa final'!#REF!),"")</f>
        <v>#REF!</v>
      </c>
      <c r="N23" s="79" t="e">
        <f>IF(AND('Mapa final'!#REF!="Alta",'Mapa final'!#REF!="Leve"),CONCATENATE("R8C",'Mapa final'!#REF!),"")</f>
        <v>#REF!</v>
      </c>
      <c r="O23" s="80" t="e">
        <f>IF(AND('Mapa final'!#REF!="Alta",'Mapa final'!#REF!="Leve"),CONCATENATE("R8C",'Mapa final'!#REF!),"")</f>
        <v>#REF!</v>
      </c>
      <c r="P23" s="81" t="str">
        <f>IF(AND('Mapa final'!$AB$23="Alta",'Mapa final'!$AD$23="Menor"),CONCATENATE("R8C",'Mapa final'!$Q$23),"")</f>
        <v/>
      </c>
      <c r="Q23" s="79" t="e">
        <f>IF(AND('Mapa final'!#REF!="Alta",'Mapa final'!#REF!="Menor"),CONCATENATE("R8C",'Mapa final'!#REF!),"")</f>
        <v>#REF!</v>
      </c>
      <c r="R23" s="79" t="e">
        <f>IF(AND('Mapa final'!#REF!="Alta",'Mapa final'!#REF!="Menor"),CONCATENATE("R8C",'Mapa final'!#REF!),"")</f>
        <v>#REF!</v>
      </c>
      <c r="S23" s="79" t="e">
        <f>IF(AND('Mapa final'!#REF!="Alta",'Mapa final'!#REF!="Menor"),CONCATENATE("R8C",'Mapa final'!#REF!),"")</f>
        <v>#REF!</v>
      </c>
      <c r="T23" s="79" t="e">
        <f>IF(AND('Mapa final'!#REF!="Alta",'Mapa final'!#REF!="Menor"),CONCATENATE("R8C",'Mapa final'!#REF!),"")</f>
        <v>#REF!</v>
      </c>
      <c r="U23" s="80" t="e">
        <f>IF(AND('Mapa final'!#REF!="Alta",'Mapa final'!#REF!="Menor"),CONCATENATE("R8C",'Mapa final'!#REF!),"")</f>
        <v>#REF!</v>
      </c>
      <c r="V23" s="98" t="str">
        <f>IF(AND('Mapa final'!$AB$23="Alta",'Mapa final'!$AD$23="Moderado"),CONCATENATE("R8C",'Mapa final'!$Q$23),"")</f>
        <v/>
      </c>
      <c r="W23" s="99" t="e">
        <f>IF(AND('Mapa final'!#REF!="Alta",'Mapa final'!#REF!="Moderado"),CONCATENATE("R8C",'Mapa final'!#REF!),"")</f>
        <v>#REF!</v>
      </c>
      <c r="X23" s="99" t="e">
        <f>IF(AND('Mapa final'!#REF!="Alta",'Mapa final'!#REF!="Moderado"),CONCATENATE("R8C",'Mapa final'!#REF!),"")</f>
        <v>#REF!</v>
      </c>
      <c r="Y23" s="99" t="e">
        <f>IF(AND('Mapa final'!#REF!="Alta",'Mapa final'!#REF!="Moderado"),CONCATENATE("R8C",'Mapa final'!#REF!),"")</f>
        <v>#REF!</v>
      </c>
      <c r="Z23" s="99" t="e">
        <f>IF(AND('Mapa final'!#REF!="Alta",'Mapa final'!#REF!="Moderado"),CONCATENATE("R8C",'Mapa final'!#REF!),"")</f>
        <v>#REF!</v>
      </c>
      <c r="AA23" s="100" t="e">
        <f>IF(AND('Mapa final'!#REF!="Alta",'Mapa final'!#REF!="Moderado"),CONCATENATE("R8C",'Mapa final'!#REF!),"")</f>
        <v>#REF!</v>
      </c>
      <c r="AB23" s="98" t="str">
        <f>IF(AND('Mapa final'!$AB$23="Alta",'Mapa final'!$AD$23="Mayor"),CONCATENATE("R8C",'Mapa final'!$Q$23),"")</f>
        <v/>
      </c>
      <c r="AC23" s="99" t="e">
        <f>IF(AND('Mapa final'!#REF!="Alta",'Mapa final'!#REF!="Mayor"),CONCATENATE("R8C",'Mapa final'!#REF!),"")</f>
        <v>#REF!</v>
      </c>
      <c r="AD23" s="99" t="e">
        <f>IF(AND('Mapa final'!#REF!="Alta",'Mapa final'!#REF!="Mayor"),CONCATENATE("R8C",'Mapa final'!#REF!),"")</f>
        <v>#REF!</v>
      </c>
      <c r="AE23" s="99" t="e">
        <f>IF(AND('Mapa final'!#REF!="Alta",'Mapa final'!#REF!="Mayor"),CONCATENATE("R8C",'Mapa final'!#REF!),"")</f>
        <v>#REF!</v>
      </c>
      <c r="AF23" s="99" t="e">
        <f>IF(AND('Mapa final'!#REF!="Alta",'Mapa final'!#REF!="Mayor"),CONCATENATE("R8C",'Mapa final'!#REF!),"")</f>
        <v>#REF!</v>
      </c>
      <c r="AG23" s="100" t="e">
        <f>IF(AND('Mapa final'!#REF!="Alta",'Mapa final'!#REF!="Mayor"),CONCATENATE("R8C",'Mapa final'!#REF!),"")</f>
        <v>#REF!</v>
      </c>
      <c r="AH23" s="114" t="str">
        <f>IF(AND('Mapa final'!$AB$23="Alta",'Mapa final'!$AD$23="Catastrófico"),CONCATENATE("R8C",'Mapa final'!$Q$23),"")</f>
        <v/>
      </c>
      <c r="AI23" s="115" t="e">
        <f>IF(AND('Mapa final'!#REF!="Alta",'Mapa final'!#REF!="Catastrófico"),CONCATENATE("R8C",'Mapa final'!#REF!),"")</f>
        <v>#REF!</v>
      </c>
      <c r="AJ23" s="115" t="e">
        <f>IF(AND('Mapa final'!#REF!="Alta",'Mapa final'!#REF!="Catastrófico"),CONCATENATE("R8C",'Mapa final'!#REF!),"")</f>
        <v>#REF!</v>
      </c>
      <c r="AK23" s="115" t="e">
        <f>IF(AND('Mapa final'!#REF!="Alta",'Mapa final'!#REF!="Catastrófico"),CONCATENATE("R8C",'Mapa final'!#REF!),"")</f>
        <v>#REF!</v>
      </c>
      <c r="AL23" s="115" t="e">
        <f>IF(AND('Mapa final'!#REF!="Alta",'Mapa final'!#REF!="Catastrófico"),CONCATENATE("R8C",'Mapa final'!#REF!),"")</f>
        <v>#REF!</v>
      </c>
      <c r="AM23" s="116" t="e">
        <f>IF(AND('Mapa final'!#REF!="Alta",'Mapa final'!#REF!="Catastrófico"),CONCATENATE("R8C",'Mapa final'!#REF!),"")</f>
        <v>#REF!</v>
      </c>
      <c r="AN23" s="37"/>
      <c r="AO23" s="514"/>
      <c r="AP23" s="515"/>
      <c r="AQ23" s="515"/>
      <c r="AR23" s="515"/>
      <c r="AS23" s="515"/>
      <c r="AT23" s="516"/>
    </row>
    <row r="24" spans="1:46" ht="15" customHeight="1" x14ac:dyDescent="0.25">
      <c r="A24" s="37"/>
      <c r="B24" s="463"/>
      <c r="C24" s="463"/>
      <c r="D24" s="464"/>
      <c r="E24" s="504"/>
      <c r="F24" s="505"/>
      <c r="G24" s="505"/>
      <c r="H24" s="505"/>
      <c r="I24" s="505"/>
      <c r="J24" s="81" t="str">
        <f>IF(AND('Mapa final'!$AB$24="Alta",'Mapa final'!$AD$24="Leve"),CONCATENATE("R9C",'Mapa final'!$Q$24),"")</f>
        <v/>
      </c>
      <c r="K24" s="79" t="str">
        <f>IF(AND('Mapa final'!$AB$25="Alta",'Mapa final'!$AD$25="Leve"),CONCATENATE("R9C",'Mapa final'!$Q$25),"")</f>
        <v/>
      </c>
      <c r="L24" s="79" t="str">
        <f>IF(AND('Mapa final'!$AB$26="Alta",'Mapa final'!$AD$26="Leve"),CONCATENATE("R9C",'Mapa final'!$Q$26),"")</f>
        <v/>
      </c>
      <c r="M24" s="79" t="e">
        <f>IF(AND('Mapa final'!#REF!="Alta",'Mapa final'!#REF!="Leve"),CONCATENATE("R9C",'Mapa final'!#REF!),"")</f>
        <v>#REF!</v>
      </c>
      <c r="N24" s="79" t="e">
        <f>IF(AND('Mapa final'!#REF!="Alta",'Mapa final'!#REF!="Leve"),CONCATENATE("R9C",'Mapa final'!#REF!),"")</f>
        <v>#REF!</v>
      </c>
      <c r="O24" s="80" t="e">
        <f>IF(AND('Mapa final'!#REF!="Alta",'Mapa final'!#REF!="Leve"),CONCATENATE("R9C",'Mapa final'!#REF!),"")</f>
        <v>#REF!</v>
      </c>
      <c r="P24" s="81" t="str">
        <f>IF(AND('Mapa final'!$AB$24="Alta",'Mapa final'!$AD$24="Menor"),CONCATENATE("R9C",'Mapa final'!$Q$24),"")</f>
        <v/>
      </c>
      <c r="Q24" s="79" t="str">
        <f>IF(AND('Mapa final'!$AB$25="Alta",'Mapa final'!$AD$25="Menor"),CONCATENATE("R9C",'Mapa final'!$Q$25),"")</f>
        <v/>
      </c>
      <c r="R24" s="79" t="str">
        <f>IF(AND('Mapa final'!$AB$26="Alta",'Mapa final'!$AD$26="Menor"),CONCATENATE("R9C",'Mapa final'!$Q$26),"")</f>
        <v/>
      </c>
      <c r="S24" s="79" t="e">
        <f>IF(AND('Mapa final'!#REF!="Alta",'Mapa final'!#REF!="Menor"),CONCATENATE("R9C",'Mapa final'!#REF!),"")</f>
        <v>#REF!</v>
      </c>
      <c r="T24" s="79" t="e">
        <f>IF(AND('Mapa final'!#REF!="Alta",'Mapa final'!#REF!="Menor"),CONCATENATE("R9C",'Mapa final'!#REF!),"")</f>
        <v>#REF!</v>
      </c>
      <c r="U24" s="80" t="e">
        <f>IF(AND('Mapa final'!#REF!="Alta",'Mapa final'!#REF!="Menor"),CONCATENATE("R9C",'Mapa final'!#REF!),"")</f>
        <v>#REF!</v>
      </c>
      <c r="V24" s="98" t="str">
        <f>IF(AND('Mapa final'!$AB$24="Alta",'Mapa final'!$AD$24="Moderado"),CONCATENATE("R9C",'Mapa final'!$Q$24),"")</f>
        <v/>
      </c>
      <c r="W24" s="99" t="str">
        <f>IF(AND('Mapa final'!$AB$25="Alta",'Mapa final'!$AD$25="Moderado"),CONCATENATE("R9C",'Mapa final'!$Q$25),"")</f>
        <v/>
      </c>
      <c r="X24" s="99" t="str">
        <f>IF(AND('Mapa final'!$AB$26="Alta",'Mapa final'!$AD$26="Moderado"),CONCATENATE("R9C",'Mapa final'!$Q$26),"")</f>
        <v/>
      </c>
      <c r="Y24" s="99" t="e">
        <f>IF(AND('Mapa final'!#REF!="Alta",'Mapa final'!#REF!="Moderado"),CONCATENATE("R9C",'Mapa final'!#REF!),"")</f>
        <v>#REF!</v>
      </c>
      <c r="Z24" s="99" t="e">
        <f>IF(AND('Mapa final'!#REF!="Alta",'Mapa final'!#REF!="Moderado"),CONCATENATE("R9C",'Mapa final'!#REF!),"")</f>
        <v>#REF!</v>
      </c>
      <c r="AA24" s="100" t="e">
        <f>IF(AND('Mapa final'!#REF!="Alta",'Mapa final'!#REF!="Moderado"),CONCATENATE("R9C",'Mapa final'!#REF!),"")</f>
        <v>#REF!</v>
      </c>
      <c r="AB24" s="98" t="str">
        <f>IF(AND('Mapa final'!$AB$24="Alta",'Mapa final'!$AD$24="Mayor"),CONCATENATE("R9C",'Mapa final'!$Q$24),"")</f>
        <v/>
      </c>
      <c r="AC24" s="99" t="str">
        <f>IF(AND('Mapa final'!$AB$25="Alta",'Mapa final'!$AD$25="Mayor"),CONCATENATE("R9C",'Mapa final'!$Q$25),"")</f>
        <v/>
      </c>
      <c r="AD24" s="99" t="str">
        <f>IF(AND('Mapa final'!$AB$26="Alta",'Mapa final'!$AD$26="Mayor"),CONCATENATE("R9C",'Mapa final'!$Q$26),"")</f>
        <v/>
      </c>
      <c r="AE24" s="99" t="e">
        <f>IF(AND('Mapa final'!#REF!="Alta",'Mapa final'!#REF!="Mayor"),CONCATENATE("R9C",'Mapa final'!#REF!),"")</f>
        <v>#REF!</v>
      </c>
      <c r="AF24" s="99" t="e">
        <f>IF(AND('Mapa final'!#REF!="Alta",'Mapa final'!#REF!="Mayor"),CONCATENATE("R9C",'Mapa final'!#REF!),"")</f>
        <v>#REF!</v>
      </c>
      <c r="AG24" s="100" t="e">
        <f>IF(AND('Mapa final'!#REF!="Alta",'Mapa final'!#REF!="Mayor"),CONCATENATE("R9C",'Mapa final'!#REF!),"")</f>
        <v>#REF!</v>
      </c>
      <c r="AH24" s="114" t="str">
        <f>IF(AND('Mapa final'!$AB$24="Alta",'Mapa final'!$AD$24="Catastrófico"),CONCATENATE("R9C",'Mapa final'!$Q$24),"")</f>
        <v/>
      </c>
      <c r="AI24" s="115" t="str">
        <f>IF(AND('Mapa final'!$AB$25="Alta",'Mapa final'!$AD$25="Catastrófico"),CONCATENATE("R9C",'Mapa final'!$Q$25),"")</f>
        <v/>
      </c>
      <c r="AJ24" s="115" t="str">
        <f>IF(AND('Mapa final'!$AB$26="Alta",'Mapa final'!$AD$26="Catastrófico"),CONCATENATE("R9C",'Mapa final'!$Q$26),"")</f>
        <v/>
      </c>
      <c r="AK24" s="115" t="e">
        <f>IF(AND('Mapa final'!#REF!="Alta",'Mapa final'!#REF!="Catastrófico"),CONCATENATE("R9C",'Mapa final'!#REF!),"")</f>
        <v>#REF!</v>
      </c>
      <c r="AL24" s="115" t="e">
        <f>IF(AND('Mapa final'!#REF!="Alta",'Mapa final'!#REF!="Catastrófico"),CONCATENATE("R9C",'Mapa final'!#REF!),"")</f>
        <v>#REF!</v>
      </c>
      <c r="AM24" s="116" t="e">
        <f>IF(AND('Mapa final'!#REF!="Alta",'Mapa final'!#REF!="Catastrófico"),CONCATENATE("R9C",'Mapa final'!#REF!),"")</f>
        <v>#REF!</v>
      </c>
      <c r="AN24" s="37"/>
      <c r="AO24" s="514"/>
      <c r="AP24" s="515"/>
      <c r="AQ24" s="515"/>
      <c r="AR24" s="515"/>
      <c r="AS24" s="515"/>
      <c r="AT24" s="516"/>
    </row>
    <row r="25" spans="1:46" ht="15.75" customHeight="1" thickBot="1" x14ac:dyDescent="0.3">
      <c r="A25" s="37"/>
      <c r="B25" s="463"/>
      <c r="C25" s="463"/>
      <c r="D25" s="464"/>
      <c r="E25" s="507"/>
      <c r="F25" s="508"/>
      <c r="G25" s="508"/>
      <c r="H25" s="508"/>
      <c r="I25" s="508"/>
      <c r="J25" s="83" t="str">
        <f>IF(AND('Mapa final'!$AB$27="Alta",'Mapa final'!$AD$27="Leve"),CONCATENATE("R10C",'Mapa final'!$Q$27),"")</f>
        <v/>
      </c>
      <c r="K25" s="84" t="str">
        <f>IF(AND('Mapa final'!$AB$28="Alta",'Mapa final'!$AD$28="Leve"),CONCATENATE("R10C",'Mapa final'!$Q$28),"")</f>
        <v/>
      </c>
      <c r="L25" s="84" t="str">
        <f>IF(AND('Mapa final'!$AB$29="Alta",'Mapa final'!$AD$29="Leve"),CONCATENATE("R10C",'Mapa final'!$Q$29),"")</f>
        <v/>
      </c>
      <c r="M25" s="84" t="e">
        <f>IF(AND('Mapa final'!#REF!="Alta",'Mapa final'!#REF!="Leve"),CONCATENATE("R10C",'Mapa final'!#REF!),"")</f>
        <v>#REF!</v>
      </c>
      <c r="N25" s="84" t="e">
        <f>IF(AND('Mapa final'!#REF!="Alta",'Mapa final'!#REF!="Leve"),CONCATENATE("R10C",'Mapa final'!#REF!),"")</f>
        <v>#REF!</v>
      </c>
      <c r="O25" s="85" t="e">
        <f>IF(AND('Mapa final'!#REF!="Alta",'Mapa final'!#REF!="Leve"),CONCATENATE("R10C",'Mapa final'!#REF!),"")</f>
        <v>#REF!</v>
      </c>
      <c r="P25" s="83" t="str">
        <f>IF(AND('Mapa final'!$AB$27="Alta",'Mapa final'!$AD$27="Menor"),CONCATENATE("R10C",'Mapa final'!$Q$27),"")</f>
        <v/>
      </c>
      <c r="Q25" s="84" t="str">
        <f>IF(AND('Mapa final'!$AB$28="Alta",'Mapa final'!$AD$28="Menor"),CONCATENATE("R10C",'Mapa final'!$Q$28),"")</f>
        <v/>
      </c>
      <c r="R25" s="84" t="str">
        <f>IF(AND('Mapa final'!$AB$29="Alta",'Mapa final'!$AD$29="Menor"),CONCATENATE("R10C",'Mapa final'!$Q$29),"")</f>
        <v/>
      </c>
      <c r="S25" s="84" t="e">
        <f>IF(AND('Mapa final'!#REF!="Alta",'Mapa final'!#REF!="Menor"),CONCATENATE("R10C",'Mapa final'!#REF!),"")</f>
        <v>#REF!</v>
      </c>
      <c r="T25" s="84" t="e">
        <f>IF(AND('Mapa final'!#REF!="Alta",'Mapa final'!#REF!="Menor"),CONCATENATE("R10C",'Mapa final'!#REF!),"")</f>
        <v>#REF!</v>
      </c>
      <c r="U25" s="85" t="e">
        <f>IF(AND('Mapa final'!#REF!="Alta",'Mapa final'!#REF!="Menor"),CONCATENATE("R10C",'Mapa final'!#REF!),"")</f>
        <v>#REF!</v>
      </c>
      <c r="V25" s="101" t="str">
        <f>IF(AND('Mapa final'!$AB$27="Alta",'Mapa final'!$AD$27="Moderado"),CONCATENATE("R10C",'Mapa final'!$Q$27),"")</f>
        <v/>
      </c>
      <c r="W25" s="102" t="str">
        <f>IF(AND('Mapa final'!$AB$28="Alta",'Mapa final'!$AD$28="Moderado"),CONCATENATE("R10C",'Mapa final'!$Q$28),"")</f>
        <v/>
      </c>
      <c r="X25" s="102" t="str">
        <f>IF(AND('Mapa final'!$AB$29="Alta",'Mapa final'!$AD$29="Moderado"),CONCATENATE("R10C",'Mapa final'!$Q$29),"")</f>
        <v/>
      </c>
      <c r="Y25" s="102" t="e">
        <f>IF(AND('Mapa final'!#REF!="Alta",'Mapa final'!#REF!="Moderado"),CONCATENATE("R10C",'Mapa final'!#REF!),"")</f>
        <v>#REF!</v>
      </c>
      <c r="Z25" s="102" t="e">
        <f>IF(AND('Mapa final'!#REF!="Alta",'Mapa final'!#REF!="Moderado"),CONCATENATE("R10C",'Mapa final'!#REF!),"")</f>
        <v>#REF!</v>
      </c>
      <c r="AA25" s="103" t="e">
        <f>IF(AND('Mapa final'!#REF!="Alta",'Mapa final'!#REF!="Moderado"),CONCATENATE("R10C",'Mapa final'!#REF!),"")</f>
        <v>#REF!</v>
      </c>
      <c r="AB25" s="101" t="str">
        <f>IF(AND('Mapa final'!$AB$27="Alta",'Mapa final'!$AD$27="Mayor"),CONCATENATE("R10C",'Mapa final'!$Q$27),"")</f>
        <v/>
      </c>
      <c r="AC25" s="102" t="str">
        <f>IF(AND('Mapa final'!$AB$28="Alta",'Mapa final'!$AD$28="Mayor"),CONCATENATE("R10C",'Mapa final'!$Q$28),"")</f>
        <v/>
      </c>
      <c r="AD25" s="102" t="str">
        <f>IF(AND('Mapa final'!$AB$29="Alta",'Mapa final'!$AD$29="Mayor"),CONCATENATE("R10C",'Mapa final'!$Q$29),"")</f>
        <v/>
      </c>
      <c r="AE25" s="102" t="e">
        <f>IF(AND('Mapa final'!#REF!="Alta",'Mapa final'!#REF!="Mayor"),CONCATENATE("R10C",'Mapa final'!#REF!),"")</f>
        <v>#REF!</v>
      </c>
      <c r="AF25" s="102" t="e">
        <f>IF(AND('Mapa final'!#REF!="Alta",'Mapa final'!#REF!="Mayor"),CONCATENATE("R10C",'Mapa final'!#REF!),"")</f>
        <v>#REF!</v>
      </c>
      <c r="AG25" s="103" t="e">
        <f>IF(AND('Mapa final'!#REF!="Alta",'Mapa final'!#REF!="Mayor"),CONCATENATE("R10C",'Mapa final'!#REF!),"")</f>
        <v>#REF!</v>
      </c>
      <c r="AH25" s="117" t="str">
        <f>IF(AND('Mapa final'!$AB$27="Alta",'Mapa final'!$AD$27="Catastrófico"),CONCATENATE("R10C",'Mapa final'!$Q$27),"")</f>
        <v/>
      </c>
      <c r="AI25" s="118" t="str">
        <f>IF(AND('Mapa final'!$AB$28="Alta",'Mapa final'!$AD$28="Catastrófico"),CONCATENATE("R10C",'Mapa final'!$Q$28),"")</f>
        <v/>
      </c>
      <c r="AJ25" s="118" t="str">
        <f>IF(AND('Mapa final'!$AB$29="Alta",'Mapa final'!$AD$29="Catastrófico"),CONCATENATE("R10C",'Mapa final'!$Q$29),"")</f>
        <v/>
      </c>
      <c r="AK25" s="118" t="e">
        <f>IF(AND('Mapa final'!#REF!="Alta",'Mapa final'!#REF!="Catastrófico"),CONCATENATE("R10C",'Mapa final'!#REF!),"")</f>
        <v>#REF!</v>
      </c>
      <c r="AL25" s="118" t="e">
        <f>IF(AND('Mapa final'!#REF!="Alta",'Mapa final'!#REF!="Catastrófico"),CONCATENATE("R10C",'Mapa final'!#REF!),"")</f>
        <v>#REF!</v>
      </c>
      <c r="AM25" s="119" t="e">
        <f>IF(AND('Mapa final'!#REF!="Alta",'Mapa final'!#REF!="Catastrófico"),CONCATENATE("R10C",'Mapa final'!#REF!),"")</f>
        <v>#REF!</v>
      </c>
      <c r="AN25" s="37"/>
      <c r="AO25" s="517"/>
      <c r="AP25" s="518"/>
      <c r="AQ25" s="518"/>
      <c r="AR25" s="518"/>
      <c r="AS25" s="518"/>
      <c r="AT25" s="519"/>
    </row>
    <row r="26" spans="1:46" ht="15" customHeight="1" x14ac:dyDescent="0.25">
      <c r="A26" s="37"/>
      <c r="B26" s="463"/>
      <c r="C26" s="463"/>
      <c r="D26" s="464"/>
      <c r="E26" s="501" t="s">
        <v>117</v>
      </c>
      <c r="F26" s="502"/>
      <c r="G26" s="502"/>
      <c r="H26" s="502"/>
      <c r="I26" s="503"/>
      <c r="J26" s="82" t="str">
        <f>IF(AND('Mapa final'!$AB$13="Media",'Mapa final'!$AD$13="Leve"),CONCATENATE("R1C",'Mapa final'!$Q$13),"")</f>
        <v/>
      </c>
      <c r="K26" s="77" t="str">
        <f>IF(AND('Mapa final'!$AB$14="Media",'Mapa final'!$AD$14="Leve"),CONCATENATE("R1C",'Mapa final'!$Q$14),"")</f>
        <v/>
      </c>
      <c r="L26" s="77" t="str">
        <f>IF(AND('Mapa final'!$AB$15="Media",'Mapa final'!$AD$15="Leve"),CONCATENATE("R1C",'Mapa final'!$Q$15),"")</f>
        <v/>
      </c>
      <c r="M26" s="77" t="e">
        <f>IF(AND('Mapa final'!#REF!="Media",'Mapa final'!#REF!="Leve"),CONCATENATE("R1C",'Mapa final'!#REF!),"")</f>
        <v>#REF!</v>
      </c>
      <c r="N26" s="77" t="e">
        <f>IF(AND('Mapa final'!#REF!="Media",'Mapa final'!#REF!="Leve"),CONCATENATE("R1C",'Mapa final'!#REF!),"")</f>
        <v>#REF!</v>
      </c>
      <c r="O26" s="78" t="e">
        <f>IF(AND('Mapa final'!#REF!="Media",'Mapa final'!#REF!="Leve"),CONCATENATE("R1C",'Mapa final'!#REF!),"")</f>
        <v>#REF!</v>
      </c>
      <c r="P26" s="82" t="str">
        <f>IF(AND('Mapa final'!$AB$13="Media",'Mapa final'!$AD$13="Menor"),CONCATENATE("R1C",'Mapa final'!$Q$13),"")</f>
        <v/>
      </c>
      <c r="Q26" s="77" t="str">
        <f>IF(AND('Mapa final'!$AB$14="Media",'Mapa final'!$AD$14="Menor"),CONCATENATE("R1C",'Mapa final'!$Q$14),"")</f>
        <v/>
      </c>
      <c r="R26" s="77" t="str">
        <f>IF(AND('Mapa final'!$AB$15="Media",'Mapa final'!$AD$15="Menor"),CONCATENATE("R1C",'Mapa final'!$Q$15),"")</f>
        <v/>
      </c>
      <c r="S26" s="77" t="e">
        <f>IF(AND('Mapa final'!#REF!="Media",'Mapa final'!#REF!="Menor"),CONCATENATE("R1C",'Mapa final'!#REF!),"")</f>
        <v>#REF!</v>
      </c>
      <c r="T26" s="77" t="e">
        <f>IF(AND('Mapa final'!#REF!="Media",'Mapa final'!#REF!="Menor"),CONCATENATE("R1C",'Mapa final'!#REF!),"")</f>
        <v>#REF!</v>
      </c>
      <c r="U26" s="78" t="e">
        <f>IF(AND('Mapa final'!#REF!="Media",'Mapa final'!#REF!="Menor"),CONCATENATE("R1C",'Mapa final'!#REF!),"")</f>
        <v>#REF!</v>
      </c>
      <c r="V26" s="82" t="str">
        <f>IF(AND('Mapa final'!$AB$13="Media",'Mapa final'!$AD$13="Moderado"),CONCATENATE("R1C",'Mapa final'!$Q$13),"")</f>
        <v/>
      </c>
      <c r="W26" s="77" t="str">
        <f>IF(AND('Mapa final'!$AB$14="Media",'Mapa final'!$AD$14="Moderado"),CONCATENATE("R1C",'Mapa final'!$Q$14),"")</f>
        <v/>
      </c>
      <c r="X26" s="77" t="str">
        <f>IF(AND('Mapa final'!$AB$15="Media",'Mapa final'!$AD$15="Moderado"),CONCATENATE("R1C",'Mapa final'!$Q$15),"")</f>
        <v/>
      </c>
      <c r="Y26" s="77" t="e">
        <f>IF(AND('Mapa final'!#REF!="Media",'Mapa final'!#REF!="Moderado"),CONCATENATE("R1C",'Mapa final'!#REF!),"")</f>
        <v>#REF!</v>
      </c>
      <c r="Z26" s="77" t="e">
        <f>IF(AND('Mapa final'!#REF!="Media",'Mapa final'!#REF!="Moderado"),CONCATENATE("R1C",'Mapa final'!#REF!),"")</f>
        <v>#REF!</v>
      </c>
      <c r="AA26" s="78" t="e">
        <f>IF(AND('Mapa final'!#REF!="Media",'Mapa final'!#REF!="Moderado"),CONCATENATE("R1C",'Mapa final'!#REF!),"")</f>
        <v>#REF!</v>
      </c>
      <c r="AB26" s="95" t="str">
        <f>IF(AND('Mapa final'!$AB$13="Media",'Mapa final'!$AD$13="Mayor"),CONCATENATE("R1C",'Mapa final'!$Q$13),"")</f>
        <v/>
      </c>
      <c r="AC26" s="96" t="str">
        <f>IF(AND('Mapa final'!$AB$14="Media",'Mapa final'!$AD$14="Mayor"),CONCATENATE("R1C",'Mapa final'!$Q$14),"")</f>
        <v/>
      </c>
      <c r="AD26" s="96" t="str">
        <f>IF(AND('Mapa final'!$AB$15="Media",'Mapa final'!$AD$15="Mayor"),CONCATENATE("R1C",'Mapa final'!$Q$15),"")</f>
        <v/>
      </c>
      <c r="AE26" s="96" t="e">
        <f>IF(AND('Mapa final'!#REF!="Media",'Mapa final'!#REF!="Mayor"),CONCATENATE("R1C",'Mapa final'!#REF!),"")</f>
        <v>#REF!</v>
      </c>
      <c r="AF26" s="96" t="e">
        <f>IF(AND('Mapa final'!#REF!="Media",'Mapa final'!#REF!="Mayor"),CONCATENATE("R1C",'Mapa final'!#REF!),"")</f>
        <v>#REF!</v>
      </c>
      <c r="AG26" s="97" t="e">
        <f>IF(AND('Mapa final'!#REF!="Media",'Mapa final'!#REF!="Mayor"),CONCATENATE("R1C",'Mapa final'!#REF!),"")</f>
        <v>#REF!</v>
      </c>
      <c r="AH26" s="111" t="str">
        <f>IF(AND('Mapa final'!$AB$13="Media",'Mapa final'!$AD$13="Catastrófico"),CONCATENATE("R1C",'Mapa final'!$Q$13),"")</f>
        <v/>
      </c>
      <c r="AI26" s="112" t="str">
        <f>IF(AND('Mapa final'!$AB$14="Media",'Mapa final'!$AD$14="Catastrófico"),CONCATENATE("R1C",'Mapa final'!$Q$14),"")</f>
        <v/>
      </c>
      <c r="AJ26" s="112" t="str">
        <f>IF(AND('Mapa final'!$AB$15="Media",'Mapa final'!$AD$15="Catastrófico"),CONCATENATE("R1C",'Mapa final'!$Q$15),"")</f>
        <v/>
      </c>
      <c r="AK26" s="112" t="e">
        <f>IF(AND('Mapa final'!#REF!="Media",'Mapa final'!#REF!="Catastrófico"),CONCATENATE("R1C",'Mapa final'!#REF!),"")</f>
        <v>#REF!</v>
      </c>
      <c r="AL26" s="112" t="e">
        <f>IF(AND('Mapa final'!#REF!="Media",'Mapa final'!#REF!="Catastrófico"),CONCATENATE("R1C",'Mapa final'!#REF!),"")</f>
        <v>#REF!</v>
      </c>
      <c r="AM26" s="113" t="e">
        <f>IF(AND('Mapa final'!#REF!="Media",'Mapa final'!#REF!="Catastrófico"),CONCATENATE("R1C",'Mapa final'!#REF!),"")</f>
        <v>#REF!</v>
      </c>
      <c r="AN26" s="37"/>
      <c r="AO26" s="541" t="s">
        <v>81</v>
      </c>
      <c r="AP26" s="542"/>
      <c r="AQ26" s="542"/>
      <c r="AR26" s="542"/>
      <c r="AS26" s="542"/>
      <c r="AT26" s="543"/>
    </row>
    <row r="27" spans="1:46" ht="15" customHeight="1" x14ac:dyDescent="0.25">
      <c r="A27" s="37"/>
      <c r="B27" s="463"/>
      <c r="C27" s="463"/>
      <c r="D27" s="464"/>
      <c r="E27" s="520"/>
      <c r="F27" s="505"/>
      <c r="G27" s="505"/>
      <c r="H27" s="505"/>
      <c r="I27" s="506"/>
      <c r="J27" s="81" t="str">
        <f>IF(AND('Mapa final'!$AB$16="Media",'Mapa final'!$AD$16="Leve"),CONCATENATE("R2C",'Mapa final'!$Q$16),"")</f>
        <v/>
      </c>
      <c r="K27" s="79" t="e">
        <f>IF(AND('Mapa final'!#REF!="Media",'Mapa final'!#REF!="Leve"),CONCATENATE("R2C",'Mapa final'!#REF!),"")</f>
        <v>#REF!</v>
      </c>
      <c r="L27" s="79" t="e">
        <f>IF(AND('Mapa final'!#REF!="Media",'Mapa final'!#REF!="Leve"),CONCATENATE("R2C",'Mapa final'!#REF!),"")</f>
        <v>#REF!</v>
      </c>
      <c r="M27" s="79" t="e">
        <f>IF(AND('Mapa final'!#REF!="Media",'Mapa final'!#REF!="Leve"),CONCATENATE("R2C",'Mapa final'!#REF!),"")</f>
        <v>#REF!</v>
      </c>
      <c r="N27" s="79" t="e">
        <f>IF(AND('Mapa final'!#REF!="Media",'Mapa final'!#REF!="Leve"),CONCATENATE("R2C",'Mapa final'!#REF!),"")</f>
        <v>#REF!</v>
      </c>
      <c r="O27" s="80" t="e">
        <f>IF(AND('Mapa final'!#REF!="Media",'Mapa final'!#REF!="Leve"),CONCATENATE("R2C",'Mapa final'!#REF!),"")</f>
        <v>#REF!</v>
      </c>
      <c r="P27" s="81" t="str">
        <f>IF(AND('Mapa final'!$AB$16="Media",'Mapa final'!$AD$16="Menor"),CONCATENATE("R2C",'Mapa final'!$Q$16),"")</f>
        <v/>
      </c>
      <c r="Q27" s="79" t="e">
        <f>IF(AND('Mapa final'!#REF!="Media",'Mapa final'!#REF!="Menor"),CONCATENATE("R2C",'Mapa final'!#REF!),"")</f>
        <v>#REF!</v>
      </c>
      <c r="R27" s="79" t="e">
        <f>IF(AND('Mapa final'!#REF!="Media",'Mapa final'!#REF!="Menor"),CONCATENATE("R2C",'Mapa final'!#REF!),"")</f>
        <v>#REF!</v>
      </c>
      <c r="S27" s="79" t="e">
        <f>IF(AND('Mapa final'!#REF!="Media",'Mapa final'!#REF!="Menor"),CONCATENATE("R2C",'Mapa final'!#REF!),"")</f>
        <v>#REF!</v>
      </c>
      <c r="T27" s="79" t="e">
        <f>IF(AND('Mapa final'!#REF!="Media",'Mapa final'!#REF!="Menor"),CONCATENATE("R2C",'Mapa final'!#REF!),"")</f>
        <v>#REF!</v>
      </c>
      <c r="U27" s="80" t="e">
        <f>IF(AND('Mapa final'!#REF!="Media",'Mapa final'!#REF!="Menor"),CONCATENATE("R2C",'Mapa final'!#REF!),"")</f>
        <v>#REF!</v>
      </c>
      <c r="V27" s="81" t="str">
        <f>IF(AND('Mapa final'!$AB$16="Media",'Mapa final'!$AD$16="Moderado"),CONCATENATE("R2C",'Mapa final'!$Q$16),"")</f>
        <v/>
      </c>
      <c r="W27" s="79" t="e">
        <f>IF(AND('Mapa final'!#REF!="Media",'Mapa final'!#REF!="Moderado"),CONCATENATE("R2C",'Mapa final'!#REF!),"")</f>
        <v>#REF!</v>
      </c>
      <c r="X27" s="79" t="e">
        <f>IF(AND('Mapa final'!#REF!="Media",'Mapa final'!#REF!="Moderado"),CONCATENATE("R2C",'Mapa final'!#REF!),"")</f>
        <v>#REF!</v>
      </c>
      <c r="Y27" s="79" t="e">
        <f>IF(AND('Mapa final'!#REF!="Media",'Mapa final'!#REF!="Moderado"),CONCATENATE("R2C",'Mapa final'!#REF!),"")</f>
        <v>#REF!</v>
      </c>
      <c r="Z27" s="79" t="e">
        <f>IF(AND('Mapa final'!#REF!="Media",'Mapa final'!#REF!="Moderado"),CONCATENATE("R2C",'Mapa final'!#REF!),"")</f>
        <v>#REF!</v>
      </c>
      <c r="AA27" s="80" t="e">
        <f>IF(AND('Mapa final'!#REF!="Media",'Mapa final'!#REF!="Moderado"),CONCATENATE("R2C",'Mapa final'!#REF!),"")</f>
        <v>#REF!</v>
      </c>
      <c r="AB27" s="98" t="str">
        <f>IF(AND('Mapa final'!$AB$16="Media",'Mapa final'!$AD$16="Mayor"),CONCATENATE("R2C",'Mapa final'!$Q$16),"")</f>
        <v/>
      </c>
      <c r="AC27" s="99" t="e">
        <f>IF(AND('Mapa final'!#REF!="Media",'Mapa final'!#REF!="Mayor"),CONCATENATE("R2C",'Mapa final'!#REF!),"")</f>
        <v>#REF!</v>
      </c>
      <c r="AD27" s="99" t="e">
        <f>IF(AND('Mapa final'!#REF!="Media",'Mapa final'!#REF!="Mayor"),CONCATENATE("R2C",'Mapa final'!#REF!),"")</f>
        <v>#REF!</v>
      </c>
      <c r="AE27" s="99" t="e">
        <f>IF(AND('Mapa final'!#REF!="Media",'Mapa final'!#REF!="Mayor"),CONCATENATE("R2C",'Mapa final'!#REF!),"")</f>
        <v>#REF!</v>
      </c>
      <c r="AF27" s="99" t="e">
        <f>IF(AND('Mapa final'!#REF!="Media",'Mapa final'!#REF!="Mayor"),CONCATENATE("R2C",'Mapa final'!#REF!),"")</f>
        <v>#REF!</v>
      </c>
      <c r="AG27" s="100" t="e">
        <f>IF(AND('Mapa final'!#REF!="Media",'Mapa final'!#REF!="Mayor"),CONCATENATE("R2C",'Mapa final'!#REF!),"")</f>
        <v>#REF!</v>
      </c>
      <c r="AH27" s="114" t="str">
        <f>IF(AND('Mapa final'!$AB$16="Media",'Mapa final'!$AD$16="Catastrófico"),CONCATENATE("R2C",'Mapa final'!$Q$16),"")</f>
        <v/>
      </c>
      <c r="AI27" s="115" t="e">
        <f>IF(AND('Mapa final'!#REF!="Media",'Mapa final'!#REF!="Catastrófico"),CONCATENATE("R2C",'Mapa final'!#REF!),"")</f>
        <v>#REF!</v>
      </c>
      <c r="AJ27" s="115" t="e">
        <f>IF(AND('Mapa final'!#REF!="Media",'Mapa final'!#REF!="Catastrófico"),CONCATENATE("R2C",'Mapa final'!#REF!),"")</f>
        <v>#REF!</v>
      </c>
      <c r="AK27" s="115" t="e">
        <f>IF(AND('Mapa final'!#REF!="Media",'Mapa final'!#REF!="Catastrófico"),CONCATENATE("R2C",'Mapa final'!#REF!),"")</f>
        <v>#REF!</v>
      </c>
      <c r="AL27" s="115" t="e">
        <f>IF(AND('Mapa final'!#REF!="Media",'Mapa final'!#REF!="Catastrófico"),CONCATENATE("R2C",'Mapa final'!#REF!),"")</f>
        <v>#REF!</v>
      </c>
      <c r="AM27" s="116" t="e">
        <f>IF(AND('Mapa final'!#REF!="Media",'Mapa final'!#REF!="Catastrófico"),CONCATENATE("R2C",'Mapa final'!#REF!),"")</f>
        <v>#REF!</v>
      </c>
      <c r="AN27" s="37"/>
      <c r="AO27" s="544"/>
      <c r="AP27" s="545"/>
      <c r="AQ27" s="545"/>
      <c r="AR27" s="545"/>
      <c r="AS27" s="545"/>
      <c r="AT27" s="546"/>
    </row>
    <row r="28" spans="1:46" ht="15" customHeight="1" x14ac:dyDescent="0.25">
      <c r="A28" s="37"/>
      <c r="B28" s="463"/>
      <c r="C28" s="463"/>
      <c r="D28" s="464"/>
      <c r="E28" s="504"/>
      <c r="F28" s="505"/>
      <c r="G28" s="505"/>
      <c r="H28" s="505"/>
      <c r="I28" s="506"/>
      <c r="J28" s="81" t="str">
        <f>IF(AND('Mapa final'!$AB$17="Media",'Mapa final'!$AD$17="Leve"),CONCATENATE("R3C",'Mapa final'!$Q$17),"")</f>
        <v/>
      </c>
      <c r="K28" s="79" t="e">
        <f>IF(AND('Mapa final'!#REF!="Media",'Mapa final'!#REF!="Leve"),CONCATENATE("R3C",'Mapa final'!#REF!),"")</f>
        <v>#REF!</v>
      </c>
      <c r="L28" s="79" t="e">
        <f>IF(AND('Mapa final'!#REF!="Media",'Mapa final'!#REF!="Leve"),CONCATENATE("R3C",'Mapa final'!#REF!),"")</f>
        <v>#REF!</v>
      </c>
      <c r="M28" s="79" t="e">
        <f>IF(AND('Mapa final'!#REF!="Media",'Mapa final'!#REF!="Leve"),CONCATENATE("R3C",'Mapa final'!#REF!),"")</f>
        <v>#REF!</v>
      </c>
      <c r="N28" s="79" t="e">
        <f>IF(AND('Mapa final'!#REF!="Media",'Mapa final'!#REF!="Leve"),CONCATENATE("R3C",'Mapa final'!#REF!),"")</f>
        <v>#REF!</v>
      </c>
      <c r="O28" s="80" t="e">
        <f>IF(AND('Mapa final'!#REF!="Media",'Mapa final'!#REF!="Leve"),CONCATENATE("R3C",'Mapa final'!#REF!),"")</f>
        <v>#REF!</v>
      </c>
      <c r="P28" s="81" t="str">
        <f>IF(AND('Mapa final'!$AB$17="Media",'Mapa final'!$AD$17="Menor"),CONCATENATE("R3C",'Mapa final'!$Q$17),"")</f>
        <v/>
      </c>
      <c r="Q28" s="79" t="e">
        <f>IF(AND('Mapa final'!#REF!="Media",'Mapa final'!#REF!="Menor"),CONCATENATE("R3C",'Mapa final'!#REF!),"")</f>
        <v>#REF!</v>
      </c>
      <c r="R28" s="79" t="e">
        <f>IF(AND('Mapa final'!#REF!="Media",'Mapa final'!#REF!="Menor"),CONCATENATE("R3C",'Mapa final'!#REF!),"")</f>
        <v>#REF!</v>
      </c>
      <c r="S28" s="79" t="e">
        <f>IF(AND('Mapa final'!#REF!="Media",'Mapa final'!#REF!="Menor"),CONCATENATE("R3C",'Mapa final'!#REF!),"")</f>
        <v>#REF!</v>
      </c>
      <c r="T28" s="79" t="e">
        <f>IF(AND('Mapa final'!#REF!="Media",'Mapa final'!#REF!="Menor"),CONCATENATE("R3C",'Mapa final'!#REF!),"")</f>
        <v>#REF!</v>
      </c>
      <c r="U28" s="80" t="e">
        <f>IF(AND('Mapa final'!#REF!="Media",'Mapa final'!#REF!="Menor"),CONCATENATE("R3C",'Mapa final'!#REF!),"")</f>
        <v>#REF!</v>
      </c>
      <c r="V28" s="81" t="str">
        <f>IF(AND('Mapa final'!$AB$17="Media",'Mapa final'!$AD$17="Moderado"),CONCATENATE("R3C",'Mapa final'!$Q$17),"")</f>
        <v/>
      </c>
      <c r="W28" s="79" t="e">
        <f>IF(AND('Mapa final'!#REF!="Media",'Mapa final'!#REF!="Moderado"),CONCATENATE("R3C",'Mapa final'!#REF!),"")</f>
        <v>#REF!</v>
      </c>
      <c r="X28" s="79" t="e">
        <f>IF(AND('Mapa final'!#REF!="Media",'Mapa final'!#REF!="Moderado"),CONCATENATE("R3C",'Mapa final'!#REF!),"")</f>
        <v>#REF!</v>
      </c>
      <c r="Y28" s="79" t="e">
        <f>IF(AND('Mapa final'!#REF!="Media",'Mapa final'!#REF!="Moderado"),CONCATENATE("R3C",'Mapa final'!#REF!),"")</f>
        <v>#REF!</v>
      </c>
      <c r="Z28" s="79" t="e">
        <f>IF(AND('Mapa final'!#REF!="Media",'Mapa final'!#REF!="Moderado"),CONCATENATE("R3C",'Mapa final'!#REF!),"")</f>
        <v>#REF!</v>
      </c>
      <c r="AA28" s="80" t="e">
        <f>IF(AND('Mapa final'!#REF!="Media",'Mapa final'!#REF!="Moderado"),CONCATENATE("R3C",'Mapa final'!#REF!),"")</f>
        <v>#REF!</v>
      </c>
      <c r="AB28" s="98" t="str">
        <f>IF(AND('Mapa final'!$AB$17="Media",'Mapa final'!$AD$17="Mayor"),CONCATENATE("R3C",'Mapa final'!$Q$17),"")</f>
        <v/>
      </c>
      <c r="AC28" s="99" t="e">
        <f>IF(AND('Mapa final'!#REF!="Media",'Mapa final'!#REF!="Mayor"),CONCATENATE("R3C",'Mapa final'!#REF!),"")</f>
        <v>#REF!</v>
      </c>
      <c r="AD28" s="99" t="e">
        <f>IF(AND('Mapa final'!#REF!="Media",'Mapa final'!#REF!="Mayor"),CONCATENATE("R3C",'Mapa final'!#REF!),"")</f>
        <v>#REF!</v>
      </c>
      <c r="AE28" s="99" t="e">
        <f>IF(AND('Mapa final'!#REF!="Media",'Mapa final'!#REF!="Mayor"),CONCATENATE("R3C",'Mapa final'!#REF!),"")</f>
        <v>#REF!</v>
      </c>
      <c r="AF28" s="99" t="e">
        <f>IF(AND('Mapa final'!#REF!="Media",'Mapa final'!#REF!="Mayor"),CONCATENATE("R3C",'Mapa final'!#REF!),"")</f>
        <v>#REF!</v>
      </c>
      <c r="AG28" s="100" t="e">
        <f>IF(AND('Mapa final'!#REF!="Media",'Mapa final'!#REF!="Mayor"),CONCATENATE("R3C",'Mapa final'!#REF!),"")</f>
        <v>#REF!</v>
      </c>
      <c r="AH28" s="114" t="str">
        <f>IF(AND('Mapa final'!$AB$17="Media",'Mapa final'!$AD$17="Catastrófico"),CONCATENATE("R3C",'Mapa final'!$Q$17),"")</f>
        <v/>
      </c>
      <c r="AI28" s="115" t="e">
        <f>IF(AND('Mapa final'!#REF!="Media",'Mapa final'!#REF!="Catastrófico"),CONCATENATE("R3C",'Mapa final'!#REF!),"")</f>
        <v>#REF!</v>
      </c>
      <c r="AJ28" s="115" t="e">
        <f>IF(AND('Mapa final'!#REF!="Media",'Mapa final'!#REF!="Catastrófico"),CONCATENATE("R3C",'Mapa final'!#REF!),"")</f>
        <v>#REF!</v>
      </c>
      <c r="AK28" s="115" t="e">
        <f>IF(AND('Mapa final'!#REF!="Media",'Mapa final'!#REF!="Catastrófico"),CONCATENATE("R3C",'Mapa final'!#REF!),"")</f>
        <v>#REF!</v>
      </c>
      <c r="AL28" s="115" t="e">
        <f>IF(AND('Mapa final'!#REF!="Media",'Mapa final'!#REF!="Catastrófico"),CONCATENATE("R3C",'Mapa final'!#REF!),"")</f>
        <v>#REF!</v>
      </c>
      <c r="AM28" s="116" t="e">
        <f>IF(AND('Mapa final'!#REF!="Media",'Mapa final'!#REF!="Catastrófico"),CONCATENATE("R3C",'Mapa final'!#REF!),"")</f>
        <v>#REF!</v>
      </c>
      <c r="AN28" s="37"/>
      <c r="AO28" s="544"/>
      <c r="AP28" s="545"/>
      <c r="AQ28" s="545"/>
      <c r="AR28" s="545"/>
      <c r="AS28" s="545"/>
      <c r="AT28" s="546"/>
    </row>
    <row r="29" spans="1:46" ht="15" customHeight="1" x14ac:dyDescent="0.25">
      <c r="A29" s="37"/>
      <c r="B29" s="463"/>
      <c r="C29" s="463"/>
      <c r="D29" s="464"/>
      <c r="E29" s="504"/>
      <c r="F29" s="505"/>
      <c r="G29" s="505"/>
      <c r="H29" s="505"/>
      <c r="I29" s="506"/>
      <c r="J29" s="81" t="str">
        <f>IF(AND('Mapa final'!$AB$18="Media",'Mapa final'!$AD$18="Leve"),CONCATENATE("R4C",'Mapa final'!$Q$18),"")</f>
        <v/>
      </c>
      <c r="K29" s="79" t="e">
        <f>IF(AND('Mapa final'!#REF!="Media",'Mapa final'!#REF!="Leve"),CONCATENATE("R4C",'Mapa final'!#REF!),"")</f>
        <v>#REF!</v>
      </c>
      <c r="L29" s="79" t="e">
        <f>IF(AND('Mapa final'!#REF!="Media",'Mapa final'!#REF!="Leve"),CONCATENATE("R4C",'Mapa final'!#REF!),"")</f>
        <v>#REF!</v>
      </c>
      <c r="M29" s="79" t="e">
        <f>IF(AND('Mapa final'!#REF!="Media",'Mapa final'!#REF!="Leve"),CONCATENATE("R4C",'Mapa final'!#REF!),"")</f>
        <v>#REF!</v>
      </c>
      <c r="N29" s="79" t="e">
        <f>IF(AND('Mapa final'!#REF!="Media",'Mapa final'!#REF!="Leve"),CONCATENATE("R4C",'Mapa final'!#REF!),"")</f>
        <v>#REF!</v>
      </c>
      <c r="O29" s="80" t="e">
        <f>IF(AND('Mapa final'!#REF!="Media",'Mapa final'!#REF!="Leve"),CONCATENATE("R4C",'Mapa final'!#REF!),"")</f>
        <v>#REF!</v>
      </c>
      <c r="P29" s="81" t="str">
        <f>IF(AND('Mapa final'!$AB$18="Media",'Mapa final'!$AD$18="Menor"),CONCATENATE("R4C",'Mapa final'!$Q$18),"")</f>
        <v/>
      </c>
      <c r="Q29" s="79" t="e">
        <f>IF(AND('Mapa final'!#REF!="Media",'Mapa final'!#REF!="Menor"),CONCATENATE("R4C",'Mapa final'!#REF!),"")</f>
        <v>#REF!</v>
      </c>
      <c r="R29" s="79" t="e">
        <f>IF(AND('Mapa final'!#REF!="Media",'Mapa final'!#REF!="Menor"),CONCATENATE("R4C",'Mapa final'!#REF!),"")</f>
        <v>#REF!</v>
      </c>
      <c r="S29" s="79" t="e">
        <f>IF(AND('Mapa final'!#REF!="Media",'Mapa final'!#REF!="Menor"),CONCATENATE("R4C",'Mapa final'!#REF!),"")</f>
        <v>#REF!</v>
      </c>
      <c r="T29" s="79" t="e">
        <f>IF(AND('Mapa final'!#REF!="Media",'Mapa final'!#REF!="Menor"),CONCATENATE("R4C",'Mapa final'!#REF!),"")</f>
        <v>#REF!</v>
      </c>
      <c r="U29" s="80" t="e">
        <f>IF(AND('Mapa final'!#REF!="Media",'Mapa final'!#REF!="Menor"),CONCATENATE("R4C",'Mapa final'!#REF!),"")</f>
        <v>#REF!</v>
      </c>
      <c r="V29" s="81" t="str">
        <f>IF(AND('Mapa final'!$AB$18="Media",'Mapa final'!$AD$18="Moderado"),CONCATENATE("R4C",'Mapa final'!$Q$18),"")</f>
        <v/>
      </c>
      <c r="W29" s="79" t="e">
        <f>IF(AND('Mapa final'!#REF!="Media",'Mapa final'!#REF!="Moderado"),CONCATENATE("R4C",'Mapa final'!#REF!),"")</f>
        <v>#REF!</v>
      </c>
      <c r="X29" s="79" t="e">
        <f>IF(AND('Mapa final'!#REF!="Media",'Mapa final'!#REF!="Moderado"),CONCATENATE("R4C",'Mapa final'!#REF!),"")</f>
        <v>#REF!</v>
      </c>
      <c r="Y29" s="79" t="e">
        <f>IF(AND('Mapa final'!#REF!="Media",'Mapa final'!#REF!="Moderado"),CONCATENATE("R4C",'Mapa final'!#REF!),"")</f>
        <v>#REF!</v>
      </c>
      <c r="Z29" s="79" t="e">
        <f>IF(AND('Mapa final'!#REF!="Media",'Mapa final'!#REF!="Moderado"),CONCATENATE("R4C",'Mapa final'!#REF!),"")</f>
        <v>#REF!</v>
      </c>
      <c r="AA29" s="80" t="e">
        <f>IF(AND('Mapa final'!#REF!="Media",'Mapa final'!#REF!="Moderado"),CONCATENATE("R4C",'Mapa final'!#REF!),"")</f>
        <v>#REF!</v>
      </c>
      <c r="AB29" s="98" t="str">
        <f>IF(AND('Mapa final'!$AB$18="Media",'Mapa final'!$AD$18="Mayor"),CONCATENATE("R4C",'Mapa final'!$Q$18),"")</f>
        <v/>
      </c>
      <c r="AC29" s="99" t="e">
        <f>IF(AND('Mapa final'!#REF!="Media",'Mapa final'!#REF!="Mayor"),CONCATENATE("R4C",'Mapa final'!#REF!),"")</f>
        <v>#REF!</v>
      </c>
      <c r="AD29" s="99" t="e">
        <f>IF(AND('Mapa final'!#REF!="Media",'Mapa final'!#REF!="Mayor"),CONCATENATE("R4C",'Mapa final'!#REF!),"")</f>
        <v>#REF!</v>
      </c>
      <c r="AE29" s="99" t="e">
        <f>IF(AND('Mapa final'!#REF!="Media",'Mapa final'!#REF!="Mayor"),CONCATENATE("R4C",'Mapa final'!#REF!),"")</f>
        <v>#REF!</v>
      </c>
      <c r="AF29" s="99" t="e">
        <f>IF(AND('Mapa final'!#REF!="Media",'Mapa final'!#REF!="Mayor"),CONCATENATE("R4C",'Mapa final'!#REF!),"")</f>
        <v>#REF!</v>
      </c>
      <c r="AG29" s="100" t="e">
        <f>IF(AND('Mapa final'!#REF!="Media",'Mapa final'!#REF!="Mayor"),CONCATENATE("R4C",'Mapa final'!#REF!),"")</f>
        <v>#REF!</v>
      </c>
      <c r="AH29" s="114" t="str">
        <f>IF(AND('Mapa final'!$AB$18="Media",'Mapa final'!$AD$18="Catastrófico"),CONCATENATE("R4C",'Mapa final'!$Q$18),"")</f>
        <v/>
      </c>
      <c r="AI29" s="115" t="e">
        <f>IF(AND('Mapa final'!#REF!="Media",'Mapa final'!#REF!="Catastrófico"),CONCATENATE("R4C",'Mapa final'!#REF!),"")</f>
        <v>#REF!</v>
      </c>
      <c r="AJ29" s="115" t="e">
        <f>IF(AND('Mapa final'!#REF!="Media",'Mapa final'!#REF!="Catastrófico"),CONCATENATE("R4C",'Mapa final'!#REF!),"")</f>
        <v>#REF!</v>
      </c>
      <c r="AK29" s="115" t="e">
        <f>IF(AND('Mapa final'!#REF!="Media",'Mapa final'!#REF!="Catastrófico"),CONCATENATE("R4C",'Mapa final'!#REF!),"")</f>
        <v>#REF!</v>
      </c>
      <c r="AL29" s="115" t="e">
        <f>IF(AND('Mapa final'!#REF!="Media",'Mapa final'!#REF!="Catastrófico"),CONCATENATE("R4C",'Mapa final'!#REF!),"")</f>
        <v>#REF!</v>
      </c>
      <c r="AM29" s="116" t="e">
        <f>IF(AND('Mapa final'!#REF!="Media",'Mapa final'!#REF!="Catastrófico"),CONCATENATE("R4C",'Mapa final'!#REF!),"")</f>
        <v>#REF!</v>
      </c>
      <c r="AN29" s="37"/>
      <c r="AO29" s="544"/>
      <c r="AP29" s="545"/>
      <c r="AQ29" s="545"/>
      <c r="AR29" s="545"/>
      <c r="AS29" s="545"/>
      <c r="AT29" s="546"/>
    </row>
    <row r="30" spans="1:46" ht="15" customHeight="1" x14ac:dyDescent="0.25">
      <c r="A30" s="37"/>
      <c r="B30" s="463"/>
      <c r="C30" s="463"/>
      <c r="D30" s="464"/>
      <c r="E30" s="504"/>
      <c r="F30" s="505"/>
      <c r="G30" s="505"/>
      <c r="H30" s="505"/>
      <c r="I30" s="506"/>
      <c r="J30" s="81" t="str">
        <f>IF(AND('Mapa final'!$AB$19="Media",'Mapa final'!$AD$19="Leve"),CONCATENATE("R5C",'Mapa final'!$Q$19),"")</f>
        <v/>
      </c>
      <c r="K30" s="79" t="str">
        <f>IF(AND('Mapa final'!$AB$20="Media",'Mapa final'!$AD$20="Leve"),CONCATENATE("R5C",'Mapa final'!$Q$20),"")</f>
        <v/>
      </c>
      <c r="L30" s="79" t="e">
        <f>IF(AND('Mapa final'!#REF!="Media",'Mapa final'!#REF!="Leve"),CONCATENATE("R5C",'Mapa final'!#REF!),"")</f>
        <v>#REF!</v>
      </c>
      <c r="M30" s="79" t="e">
        <f>IF(AND('Mapa final'!#REF!="Media",'Mapa final'!#REF!="Leve"),CONCATENATE("R5C",'Mapa final'!#REF!),"")</f>
        <v>#REF!</v>
      </c>
      <c r="N30" s="79" t="e">
        <f>IF(AND('Mapa final'!#REF!="Media",'Mapa final'!#REF!="Leve"),CONCATENATE("R5C",'Mapa final'!#REF!),"")</f>
        <v>#REF!</v>
      </c>
      <c r="O30" s="80" t="e">
        <f>IF(AND('Mapa final'!#REF!="Media",'Mapa final'!#REF!="Leve"),CONCATENATE("R5C",'Mapa final'!#REF!),"")</f>
        <v>#REF!</v>
      </c>
      <c r="P30" s="81" t="str">
        <f>IF(AND('Mapa final'!$AB$19="Media",'Mapa final'!$AD$19="Menor"),CONCATENATE("R5C",'Mapa final'!$Q$19),"")</f>
        <v/>
      </c>
      <c r="Q30" s="79" t="str">
        <f>IF(AND('Mapa final'!$AB$20="Media",'Mapa final'!$AD$20="Menor"),CONCATENATE("R5C",'Mapa final'!$Q$20),"")</f>
        <v/>
      </c>
      <c r="R30" s="79" t="e">
        <f>IF(AND('Mapa final'!#REF!="Media",'Mapa final'!#REF!="Menor"),CONCATENATE("R5C",'Mapa final'!#REF!),"")</f>
        <v>#REF!</v>
      </c>
      <c r="S30" s="79" t="e">
        <f>IF(AND('Mapa final'!#REF!="Media",'Mapa final'!#REF!="Menor"),CONCATENATE("R5C",'Mapa final'!#REF!),"")</f>
        <v>#REF!</v>
      </c>
      <c r="T30" s="79" t="e">
        <f>IF(AND('Mapa final'!#REF!="Media",'Mapa final'!#REF!="Menor"),CONCATENATE("R5C",'Mapa final'!#REF!),"")</f>
        <v>#REF!</v>
      </c>
      <c r="U30" s="80" t="e">
        <f>IF(AND('Mapa final'!#REF!="Media",'Mapa final'!#REF!="Menor"),CONCATENATE("R5C",'Mapa final'!#REF!),"")</f>
        <v>#REF!</v>
      </c>
      <c r="V30" s="81" t="str">
        <f>IF(AND('Mapa final'!$AB$19="Media",'Mapa final'!$AD$19="Moderado"),CONCATENATE("R5C",'Mapa final'!$Q$19),"")</f>
        <v/>
      </c>
      <c r="W30" s="79" t="str">
        <f>IF(AND('Mapa final'!$AB$20="Media",'Mapa final'!$AD$20="Moderado"),CONCATENATE("R5C",'Mapa final'!$Q$20),"")</f>
        <v/>
      </c>
      <c r="X30" s="79" t="e">
        <f>IF(AND('Mapa final'!#REF!="Media",'Mapa final'!#REF!="Moderado"),CONCATENATE("R5C",'Mapa final'!#REF!),"")</f>
        <v>#REF!</v>
      </c>
      <c r="Y30" s="79" t="e">
        <f>IF(AND('Mapa final'!#REF!="Media",'Mapa final'!#REF!="Moderado"),CONCATENATE("R5C",'Mapa final'!#REF!),"")</f>
        <v>#REF!</v>
      </c>
      <c r="Z30" s="79" t="e">
        <f>IF(AND('Mapa final'!#REF!="Media",'Mapa final'!#REF!="Moderado"),CONCATENATE("R5C",'Mapa final'!#REF!),"")</f>
        <v>#REF!</v>
      </c>
      <c r="AA30" s="80" t="e">
        <f>IF(AND('Mapa final'!#REF!="Media",'Mapa final'!#REF!="Moderado"),CONCATENATE("R5C",'Mapa final'!#REF!),"")</f>
        <v>#REF!</v>
      </c>
      <c r="AB30" s="98" t="str">
        <f>IF(AND('Mapa final'!$AB$19="Media",'Mapa final'!$AD$19="Mayor"),CONCATENATE("R5C",'Mapa final'!$Q$19),"")</f>
        <v/>
      </c>
      <c r="AC30" s="99" t="str">
        <f>IF(AND('Mapa final'!$AB$20="Media",'Mapa final'!$AD$20="Mayor"),CONCATENATE("R5C",'Mapa final'!$Q$20),"")</f>
        <v/>
      </c>
      <c r="AD30" s="99" t="e">
        <f>IF(AND('Mapa final'!#REF!="Media",'Mapa final'!#REF!="Mayor"),CONCATENATE("R5C",'Mapa final'!#REF!),"")</f>
        <v>#REF!</v>
      </c>
      <c r="AE30" s="99" t="e">
        <f>IF(AND('Mapa final'!#REF!="Media",'Mapa final'!#REF!="Mayor"),CONCATENATE("R5C",'Mapa final'!#REF!),"")</f>
        <v>#REF!</v>
      </c>
      <c r="AF30" s="99" t="e">
        <f>IF(AND('Mapa final'!#REF!="Media",'Mapa final'!#REF!="Mayor"),CONCATENATE("R5C",'Mapa final'!#REF!),"")</f>
        <v>#REF!</v>
      </c>
      <c r="AG30" s="100" t="e">
        <f>IF(AND('Mapa final'!#REF!="Media",'Mapa final'!#REF!="Mayor"),CONCATENATE("R5C",'Mapa final'!#REF!),"")</f>
        <v>#REF!</v>
      </c>
      <c r="AH30" s="114" t="str">
        <f>IF(AND('Mapa final'!$AB$19="Media",'Mapa final'!$AD$19="Catastrófico"),CONCATENATE("R5C",'Mapa final'!$Q$19),"")</f>
        <v/>
      </c>
      <c r="AI30" s="115" t="str">
        <f>IF(AND('Mapa final'!$AB$20="Media",'Mapa final'!$AD$20="Catastrófico"),CONCATENATE("R5C",'Mapa final'!$Q$20),"")</f>
        <v/>
      </c>
      <c r="AJ30" s="115" t="e">
        <f>IF(AND('Mapa final'!#REF!="Media",'Mapa final'!#REF!="Catastrófico"),CONCATENATE("R5C",'Mapa final'!#REF!),"")</f>
        <v>#REF!</v>
      </c>
      <c r="AK30" s="115" t="e">
        <f>IF(AND('Mapa final'!#REF!="Media",'Mapa final'!#REF!="Catastrófico"),CONCATENATE("R5C",'Mapa final'!#REF!),"")</f>
        <v>#REF!</v>
      </c>
      <c r="AL30" s="115" t="e">
        <f>IF(AND('Mapa final'!#REF!="Media",'Mapa final'!#REF!="Catastrófico"),CONCATENATE("R5C",'Mapa final'!#REF!),"")</f>
        <v>#REF!</v>
      </c>
      <c r="AM30" s="116" t="e">
        <f>IF(AND('Mapa final'!#REF!="Media",'Mapa final'!#REF!="Catastrófico"),CONCATENATE("R5C",'Mapa final'!#REF!),"")</f>
        <v>#REF!</v>
      </c>
      <c r="AN30" s="37"/>
      <c r="AO30" s="544"/>
      <c r="AP30" s="545"/>
      <c r="AQ30" s="545"/>
      <c r="AR30" s="545"/>
      <c r="AS30" s="545"/>
      <c r="AT30" s="546"/>
    </row>
    <row r="31" spans="1:46" ht="15" customHeight="1" x14ac:dyDescent="0.25">
      <c r="A31" s="37"/>
      <c r="B31" s="463"/>
      <c r="C31" s="463"/>
      <c r="D31" s="464"/>
      <c r="E31" s="504"/>
      <c r="F31" s="505"/>
      <c r="G31" s="505"/>
      <c r="H31" s="505"/>
      <c r="I31" s="506"/>
      <c r="J31" s="81" t="str">
        <f>IF(AND('Mapa final'!$AB$21="Media",'Mapa final'!$AD$21="Leve"),CONCATENATE("R6C",'Mapa final'!$Q$21),"")</f>
        <v/>
      </c>
      <c r="K31" s="79" t="e">
        <f>IF(AND('Mapa final'!#REF!="Media",'Mapa final'!#REF!="Leve"),CONCATENATE("R6C",'Mapa final'!#REF!),"")</f>
        <v>#REF!</v>
      </c>
      <c r="L31" s="79" t="e">
        <f>IF(AND('Mapa final'!#REF!="Media",'Mapa final'!#REF!="Leve"),CONCATENATE("R6C",'Mapa final'!#REF!),"")</f>
        <v>#REF!</v>
      </c>
      <c r="M31" s="79" t="e">
        <f>IF(AND('Mapa final'!#REF!="Media",'Mapa final'!#REF!="Leve"),CONCATENATE("R6C",'Mapa final'!#REF!),"")</f>
        <v>#REF!</v>
      </c>
      <c r="N31" s="79" t="e">
        <f>IF(AND('Mapa final'!#REF!="Media",'Mapa final'!#REF!="Leve"),CONCATENATE("R6C",'Mapa final'!#REF!),"")</f>
        <v>#REF!</v>
      </c>
      <c r="O31" s="80" t="e">
        <f>IF(AND('Mapa final'!#REF!="Media",'Mapa final'!#REF!="Leve"),CONCATENATE("R6C",'Mapa final'!#REF!),"")</f>
        <v>#REF!</v>
      </c>
      <c r="P31" s="81" t="str">
        <f>IF(AND('Mapa final'!$AB$21="Media",'Mapa final'!$AD$21="Menor"),CONCATENATE("R6C",'Mapa final'!$Q$21),"")</f>
        <v/>
      </c>
      <c r="Q31" s="79" t="e">
        <f>IF(AND('Mapa final'!#REF!="Media",'Mapa final'!#REF!="Menor"),CONCATENATE("R6C",'Mapa final'!#REF!),"")</f>
        <v>#REF!</v>
      </c>
      <c r="R31" s="79" t="e">
        <f>IF(AND('Mapa final'!#REF!="Media",'Mapa final'!#REF!="Menor"),CONCATENATE("R6C",'Mapa final'!#REF!),"")</f>
        <v>#REF!</v>
      </c>
      <c r="S31" s="79" t="e">
        <f>IF(AND('Mapa final'!#REF!="Media",'Mapa final'!#REF!="Menor"),CONCATENATE("R6C",'Mapa final'!#REF!),"")</f>
        <v>#REF!</v>
      </c>
      <c r="T31" s="79" t="e">
        <f>IF(AND('Mapa final'!#REF!="Media",'Mapa final'!#REF!="Menor"),CONCATENATE("R6C",'Mapa final'!#REF!),"")</f>
        <v>#REF!</v>
      </c>
      <c r="U31" s="80" t="e">
        <f>IF(AND('Mapa final'!#REF!="Media",'Mapa final'!#REF!="Menor"),CONCATENATE("R6C",'Mapa final'!#REF!),"")</f>
        <v>#REF!</v>
      </c>
      <c r="V31" s="81" t="str">
        <f>IF(AND('Mapa final'!$AB$21="Media",'Mapa final'!$AD$21="Moderado"),CONCATENATE("R6C",'Mapa final'!$Q$21),"")</f>
        <v/>
      </c>
      <c r="W31" s="79" t="e">
        <f>IF(AND('Mapa final'!#REF!="Media",'Mapa final'!#REF!="Moderado"),CONCATENATE("R6C",'Mapa final'!#REF!),"")</f>
        <v>#REF!</v>
      </c>
      <c r="X31" s="79" t="e">
        <f>IF(AND('Mapa final'!#REF!="Media",'Mapa final'!#REF!="Moderado"),CONCATENATE("R6C",'Mapa final'!#REF!),"")</f>
        <v>#REF!</v>
      </c>
      <c r="Y31" s="79" t="e">
        <f>IF(AND('Mapa final'!#REF!="Media",'Mapa final'!#REF!="Moderado"),CONCATENATE("R6C",'Mapa final'!#REF!),"")</f>
        <v>#REF!</v>
      </c>
      <c r="Z31" s="79" t="e">
        <f>IF(AND('Mapa final'!#REF!="Media",'Mapa final'!#REF!="Moderado"),CONCATENATE("R6C",'Mapa final'!#REF!),"")</f>
        <v>#REF!</v>
      </c>
      <c r="AA31" s="80" t="e">
        <f>IF(AND('Mapa final'!#REF!="Media",'Mapa final'!#REF!="Moderado"),CONCATENATE("R6C",'Mapa final'!#REF!),"")</f>
        <v>#REF!</v>
      </c>
      <c r="AB31" s="98" t="str">
        <f>IF(AND('Mapa final'!$AB$21="Media",'Mapa final'!$AD$21="Mayor"),CONCATENATE("R6C",'Mapa final'!$Q$21),"")</f>
        <v/>
      </c>
      <c r="AC31" s="99" t="e">
        <f>IF(AND('Mapa final'!#REF!="Media",'Mapa final'!#REF!="Mayor"),CONCATENATE("R6C",'Mapa final'!#REF!),"")</f>
        <v>#REF!</v>
      </c>
      <c r="AD31" s="99" t="e">
        <f>IF(AND('Mapa final'!#REF!="Media",'Mapa final'!#REF!="Mayor"),CONCATENATE("R6C",'Mapa final'!#REF!),"")</f>
        <v>#REF!</v>
      </c>
      <c r="AE31" s="99" t="e">
        <f>IF(AND('Mapa final'!#REF!="Media",'Mapa final'!#REF!="Mayor"),CONCATENATE("R6C",'Mapa final'!#REF!),"")</f>
        <v>#REF!</v>
      </c>
      <c r="AF31" s="99" t="e">
        <f>IF(AND('Mapa final'!#REF!="Media",'Mapa final'!#REF!="Mayor"),CONCATENATE("R6C",'Mapa final'!#REF!),"")</f>
        <v>#REF!</v>
      </c>
      <c r="AG31" s="100" t="e">
        <f>IF(AND('Mapa final'!#REF!="Media",'Mapa final'!#REF!="Mayor"),CONCATENATE("R6C",'Mapa final'!#REF!),"")</f>
        <v>#REF!</v>
      </c>
      <c r="AH31" s="114" t="str">
        <f>IF(AND('Mapa final'!$AB$21="Media",'Mapa final'!$AD$21="Catastrófico"),CONCATENATE("R6C",'Mapa final'!$Q$21),"")</f>
        <v/>
      </c>
      <c r="AI31" s="115" t="e">
        <f>IF(AND('Mapa final'!#REF!="Media",'Mapa final'!#REF!="Catastrófico"),CONCATENATE("R6C",'Mapa final'!#REF!),"")</f>
        <v>#REF!</v>
      </c>
      <c r="AJ31" s="115" t="e">
        <f>IF(AND('Mapa final'!#REF!="Media",'Mapa final'!#REF!="Catastrófico"),CONCATENATE("R6C",'Mapa final'!#REF!),"")</f>
        <v>#REF!</v>
      </c>
      <c r="AK31" s="115" t="e">
        <f>IF(AND('Mapa final'!#REF!="Media",'Mapa final'!#REF!="Catastrófico"),CONCATENATE("R6C",'Mapa final'!#REF!),"")</f>
        <v>#REF!</v>
      </c>
      <c r="AL31" s="115" t="e">
        <f>IF(AND('Mapa final'!#REF!="Media",'Mapa final'!#REF!="Catastrófico"),CONCATENATE("R6C",'Mapa final'!#REF!),"")</f>
        <v>#REF!</v>
      </c>
      <c r="AM31" s="116" t="e">
        <f>IF(AND('Mapa final'!#REF!="Media",'Mapa final'!#REF!="Catastrófico"),CONCATENATE("R6C",'Mapa final'!#REF!),"")</f>
        <v>#REF!</v>
      </c>
      <c r="AN31" s="37"/>
      <c r="AO31" s="544"/>
      <c r="AP31" s="545"/>
      <c r="AQ31" s="545"/>
      <c r="AR31" s="545"/>
      <c r="AS31" s="545"/>
      <c r="AT31" s="546"/>
    </row>
    <row r="32" spans="1:46" ht="15" customHeight="1" x14ac:dyDescent="0.25">
      <c r="A32" s="37"/>
      <c r="B32" s="463"/>
      <c r="C32" s="463"/>
      <c r="D32" s="464"/>
      <c r="E32" s="504"/>
      <c r="F32" s="505"/>
      <c r="G32" s="505"/>
      <c r="H32" s="505"/>
      <c r="I32" s="506"/>
      <c r="J32" s="81" t="str">
        <f>IF(AND('Mapa final'!$AB$22="Media",'Mapa final'!$AD$22="Leve"),CONCATENATE("R7C",'Mapa final'!$Q$22),"")</f>
        <v>R7C1</v>
      </c>
      <c r="K32" s="79" t="e">
        <f>IF(AND('Mapa final'!#REF!="Media",'Mapa final'!#REF!="Leve"),CONCATENATE("R7C",'Mapa final'!#REF!),"")</f>
        <v>#REF!</v>
      </c>
      <c r="L32" s="79" t="e">
        <f>IF(AND('Mapa final'!#REF!="Media",'Mapa final'!#REF!="Leve"),CONCATENATE("R7C",'Mapa final'!#REF!),"")</f>
        <v>#REF!</v>
      </c>
      <c r="M32" s="79" t="e">
        <f>IF(AND('Mapa final'!#REF!="Media",'Mapa final'!#REF!="Leve"),CONCATENATE("R7C",'Mapa final'!#REF!),"")</f>
        <v>#REF!</v>
      </c>
      <c r="N32" s="79" t="e">
        <f>IF(AND('Mapa final'!#REF!="Media",'Mapa final'!#REF!="Leve"),CONCATENATE("R7C",'Mapa final'!#REF!),"")</f>
        <v>#REF!</v>
      </c>
      <c r="O32" s="80" t="e">
        <f>IF(AND('Mapa final'!#REF!="Media",'Mapa final'!#REF!="Leve"),CONCATENATE("R7C",'Mapa final'!#REF!),"")</f>
        <v>#REF!</v>
      </c>
      <c r="P32" s="81" t="str">
        <f>IF(AND('Mapa final'!$AB$22="Media",'Mapa final'!$AD$22="Menor"),CONCATENATE("R7C",'Mapa final'!$Q$22),"")</f>
        <v/>
      </c>
      <c r="Q32" s="79" t="e">
        <f>IF(AND('Mapa final'!#REF!="Media",'Mapa final'!#REF!="Menor"),CONCATENATE("R7C",'Mapa final'!#REF!),"")</f>
        <v>#REF!</v>
      </c>
      <c r="R32" s="79" t="e">
        <f>IF(AND('Mapa final'!#REF!="Media",'Mapa final'!#REF!="Menor"),CONCATENATE("R7C",'Mapa final'!#REF!),"")</f>
        <v>#REF!</v>
      </c>
      <c r="S32" s="79" t="e">
        <f>IF(AND('Mapa final'!#REF!="Media",'Mapa final'!#REF!="Menor"),CONCATENATE("R7C",'Mapa final'!#REF!),"")</f>
        <v>#REF!</v>
      </c>
      <c r="T32" s="79" t="e">
        <f>IF(AND('Mapa final'!#REF!="Media",'Mapa final'!#REF!="Menor"),CONCATENATE("R7C",'Mapa final'!#REF!),"")</f>
        <v>#REF!</v>
      </c>
      <c r="U32" s="80" t="e">
        <f>IF(AND('Mapa final'!#REF!="Media",'Mapa final'!#REF!="Menor"),CONCATENATE("R7C",'Mapa final'!#REF!),"")</f>
        <v>#REF!</v>
      </c>
      <c r="V32" s="81" t="str">
        <f>IF(AND('Mapa final'!$AB$22="Media",'Mapa final'!$AD$22="Moderado"),CONCATENATE("R7C",'Mapa final'!$Q$22),"")</f>
        <v/>
      </c>
      <c r="W32" s="79" t="e">
        <f>IF(AND('Mapa final'!#REF!="Media",'Mapa final'!#REF!="Moderado"),CONCATENATE("R7C",'Mapa final'!#REF!),"")</f>
        <v>#REF!</v>
      </c>
      <c r="X32" s="79" t="e">
        <f>IF(AND('Mapa final'!#REF!="Media",'Mapa final'!#REF!="Moderado"),CONCATENATE("R7C",'Mapa final'!#REF!),"")</f>
        <v>#REF!</v>
      </c>
      <c r="Y32" s="79" t="e">
        <f>IF(AND('Mapa final'!#REF!="Media",'Mapa final'!#REF!="Moderado"),CONCATENATE("R7C",'Mapa final'!#REF!),"")</f>
        <v>#REF!</v>
      </c>
      <c r="Z32" s="79" t="e">
        <f>IF(AND('Mapa final'!#REF!="Media",'Mapa final'!#REF!="Moderado"),CONCATENATE("R7C",'Mapa final'!#REF!),"")</f>
        <v>#REF!</v>
      </c>
      <c r="AA32" s="80" t="e">
        <f>IF(AND('Mapa final'!#REF!="Media",'Mapa final'!#REF!="Moderado"),CONCATENATE("R7C",'Mapa final'!#REF!),"")</f>
        <v>#REF!</v>
      </c>
      <c r="AB32" s="98" t="str">
        <f>IF(AND('Mapa final'!$AB$22="Media",'Mapa final'!$AD$22="Mayor"),CONCATENATE("R7C",'Mapa final'!$Q$22),"")</f>
        <v/>
      </c>
      <c r="AC32" s="99" t="e">
        <f>IF(AND('Mapa final'!#REF!="Media",'Mapa final'!#REF!="Mayor"),CONCATENATE("R7C",'Mapa final'!#REF!),"")</f>
        <v>#REF!</v>
      </c>
      <c r="AD32" s="99" t="e">
        <f>IF(AND('Mapa final'!#REF!="Media",'Mapa final'!#REF!="Mayor"),CONCATENATE("R7C",'Mapa final'!#REF!),"")</f>
        <v>#REF!</v>
      </c>
      <c r="AE32" s="99" t="e">
        <f>IF(AND('Mapa final'!#REF!="Media",'Mapa final'!#REF!="Mayor"),CONCATENATE("R7C",'Mapa final'!#REF!),"")</f>
        <v>#REF!</v>
      </c>
      <c r="AF32" s="99" t="e">
        <f>IF(AND('Mapa final'!#REF!="Media",'Mapa final'!#REF!="Mayor"),CONCATENATE("R7C",'Mapa final'!#REF!),"")</f>
        <v>#REF!</v>
      </c>
      <c r="AG32" s="100" t="e">
        <f>IF(AND('Mapa final'!#REF!="Media",'Mapa final'!#REF!="Mayor"),CONCATENATE("R7C",'Mapa final'!#REF!),"")</f>
        <v>#REF!</v>
      </c>
      <c r="AH32" s="114" t="str">
        <f>IF(AND('Mapa final'!$AB$22="Media",'Mapa final'!$AD$22="Catastrófico"),CONCATENATE("R7C",'Mapa final'!$Q$22),"")</f>
        <v/>
      </c>
      <c r="AI32" s="115" t="e">
        <f>IF(AND('Mapa final'!#REF!="Media",'Mapa final'!#REF!="Catastrófico"),CONCATENATE("R7C",'Mapa final'!#REF!),"")</f>
        <v>#REF!</v>
      </c>
      <c r="AJ32" s="115" t="e">
        <f>IF(AND('Mapa final'!#REF!="Media",'Mapa final'!#REF!="Catastrófico"),CONCATENATE("R7C",'Mapa final'!#REF!),"")</f>
        <v>#REF!</v>
      </c>
      <c r="AK32" s="115" t="e">
        <f>IF(AND('Mapa final'!#REF!="Media",'Mapa final'!#REF!="Catastrófico"),CONCATENATE("R7C",'Mapa final'!#REF!),"")</f>
        <v>#REF!</v>
      </c>
      <c r="AL32" s="115" t="e">
        <f>IF(AND('Mapa final'!#REF!="Media",'Mapa final'!#REF!="Catastrófico"),CONCATENATE("R7C",'Mapa final'!#REF!),"")</f>
        <v>#REF!</v>
      </c>
      <c r="AM32" s="116" t="e">
        <f>IF(AND('Mapa final'!#REF!="Media",'Mapa final'!#REF!="Catastrófico"),CONCATENATE("R7C",'Mapa final'!#REF!),"")</f>
        <v>#REF!</v>
      </c>
      <c r="AN32" s="37"/>
      <c r="AO32" s="544"/>
      <c r="AP32" s="545"/>
      <c r="AQ32" s="545"/>
      <c r="AR32" s="545"/>
      <c r="AS32" s="545"/>
      <c r="AT32" s="546"/>
    </row>
    <row r="33" spans="1:46" ht="15" customHeight="1" x14ac:dyDescent="0.25">
      <c r="A33" s="37"/>
      <c r="B33" s="463"/>
      <c r="C33" s="463"/>
      <c r="D33" s="464"/>
      <c r="E33" s="504"/>
      <c r="F33" s="505"/>
      <c r="G33" s="505"/>
      <c r="H33" s="505"/>
      <c r="I33" s="506"/>
      <c r="J33" s="81" t="str">
        <f>IF(AND('Mapa final'!$AB$23="Media",'Mapa final'!$AD$23="Leve"),CONCATENATE("R8C",'Mapa final'!$Q$23),"")</f>
        <v/>
      </c>
      <c r="K33" s="79" t="e">
        <f>IF(AND('Mapa final'!#REF!="Media",'Mapa final'!#REF!="Leve"),CONCATENATE("R8C",'Mapa final'!#REF!),"")</f>
        <v>#REF!</v>
      </c>
      <c r="L33" s="79" t="e">
        <f>IF(AND('Mapa final'!#REF!="Media",'Mapa final'!#REF!="Leve"),CONCATENATE("R8C",'Mapa final'!#REF!),"")</f>
        <v>#REF!</v>
      </c>
      <c r="M33" s="79" t="e">
        <f>IF(AND('Mapa final'!#REF!="Media",'Mapa final'!#REF!="Leve"),CONCATENATE("R8C",'Mapa final'!#REF!),"")</f>
        <v>#REF!</v>
      </c>
      <c r="N33" s="79" t="e">
        <f>IF(AND('Mapa final'!#REF!="Media",'Mapa final'!#REF!="Leve"),CONCATENATE("R8C",'Mapa final'!#REF!),"")</f>
        <v>#REF!</v>
      </c>
      <c r="O33" s="80" t="e">
        <f>IF(AND('Mapa final'!#REF!="Media",'Mapa final'!#REF!="Leve"),CONCATENATE("R8C",'Mapa final'!#REF!),"")</f>
        <v>#REF!</v>
      </c>
      <c r="P33" s="81" t="str">
        <f>IF(AND('Mapa final'!$AB$23="Media",'Mapa final'!$AD$23="Menor"),CONCATENATE("R8C",'Mapa final'!$Q$23),"")</f>
        <v/>
      </c>
      <c r="Q33" s="79" t="e">
        <f>IF(AND('Mapa final'!#REF!="Media",'Mapa final'!#REF!="Menor"),CONCATENATE("R8C",'Mapa final'!#REF!),"")</f>
        <v>#REF!</v>
      </c>
      <c r="R33" s="79" t="e">
        <f>IF(AND('Mapa final'!#REF!="Media",'Mapa final'!#REF!="Menor"),CONCATENATE("R8C",'Mapa final'!#REF!),"")</f>
        <v>#REF!</v>
      </c>
      <c r="S33" s="79" t="e">
        <f>IF(AND('Mapa final'!#REF!="Media",'Mapa final'!#REF!="Menor"),CONCATENATE("R8C",'Mapa final'!#REF!),"")</f>
        <v>#REF!</v>
      </c>
      <c r="T33" s="79" t="e">
        <f>IF(AND('Mapa final'!#REF!="Media",'Mapa final'!#REF!="Menor"),CONCATENATE("R8C",'Mapa final'!#REF!),"")</f>
        <v>#REF!</v>
      </c>
      <c r="U33" s="80" t="e">
        <f>IF(AND('Mapa final'!#REF!="Media",'Mapa final'!#REF!="Menor"),CONCATENATE("R8C",'Mapa final'!#REF!),"")</f>
        <v>#REF!</v>
      </c>
      <c r="V33" s="81" t="str">
        <f>IF(AND('Mapa final'!$AB$23="Media",'Mapa final'!$AD$23="Moderado"),CONCATENATE("R8C",'Mapa final'!$Q$23),"")</f>
        <v/>
      </c>
      <c r="W33" s="79" t="e">
        <f>IF(AND('Mapa final'!#REF!="Media",'Mapa final'!#REF!="Moderado"),CONCATENATE("R8C",'Mapa final'!#REF!),"")</f>
        <v>#REF!</v>
      </c>
      <c r="X33" s="79" t="e">
        <f>IF(AND('Mapa final'!#REF!="Media",'Mapa final'!#REF!="Moderado"),CONCATENATE("R8C",'Mapa final'!#REF!),"")</f>
        <v>#REF!</v>
      </c>
      <c r="Y33" s="79" t="e">
        <f>IF(AND('Mapa final'!#REF!="Media",'Mapa final'!#REF!="Moderado"),CONCATENATE("R8C",'Mapa final'!#REF!),"")</f>
        <v>#REF!</v>
      </c>
      <c r="Z33" s="79" t="e">
        <f>IF(AND('Mapa final'!#REF!="Media",'Mapa final'!#REF!="Moderado"),CONCATENATE("R8C",'Mapa final'!#REF!),"")</f>
        <v>#REF!</v>
      </c>
      <c r="AA33" s="80" t="e">
        <f>IF(AND('Mapa final'!#REF!="Media",'Mapa final'!#REF!="Moderado"),CONCATENATE("R8C",'Mapa final'!#REF!),"")</f>
        <v>#REF!</v>
      </c>
      <c r="AB33" s="98" t="str">
        <f>IF(AND('Mapa final'!$AB$23="Media",'Mapa final'!$AD$23="Mayor"),CONCATENATE("R8C",'Mapa final'!$Q$23),"")</f>
        <v/>
      </c>
      <c r="AC33" s="99" t="e">
        <f>IF(AND('Mapa final'!#REF!="Media",'Mapa final'!#REF!="Mayor"),CONCATENATE("R8C",'Mapa final'!#REF!),"")</f>
        <v>#REF!</v>
      </c>
      <c r="AD33" s="99" t="e">
        <f>IF(AND('Mapa final'!#REF!="Media",'Mapa final'!#REF!="Mayor"),CONCATENATE("R8C",'Mapa final'!#REF!),"")</f>
        <v>#REF!</v>
      </c>
      <c r="AE33" s="99" t="e">
        <f>IF(AND('Mapa final'!#REF!="Media",'Mapa final'!#REF!="Mayor"),CONCATENATE("R8C",'Mapa final'!#REF!),"")</f>
        <v>#REF!</v>
      </c>
      <c r="AF33" s="99" t="e">
        <f>IF(AND('Mapa final'!#REF!="Media",'Mapa final'!#REF!="Mayor"),CONCATENATE("R8C",'Mapa final'!#REF!),"")</f>
        <v>#REF!</v>
      </c>
      <c r="AG33" s="100" t="e">
        <f>IF(AND('Mapa final'!#REF!="Media",'Mapa final'!#REF!="Mayor"),CONCATENATE("R8C",'Mapa final'!#REF!),"")</f>
        <v>#REF!</v>
      </c>
      <c r="AH33" s="114" t="str">
        <f>IF(AND('Mapa final'!$AB$23="Media",'Mapa final'!$AD$23="Catastrófico"),CONCATENATE("R8C",'Mapa final'!$Q$23),"")</f>
        <v/>
      </c>
      <c r="AI33" s="115" t="e">
        <f>IF(AND('Mapa final'!#REF!="Media",'Mapa final'!#REF!="Catastrófico"),CONCATENATE("R8C",'Mapa final'!#REF!),"")</f>
        <v>#REF!</v>
      </c>
      <c r="AJ33" s="115" t="e">
        <f>IF(AND('Mapa final'!#REF!="Media",'Mapa final'!#REF!="Catastrófico"),CONCATENATE("R8C",'Mapa final'!#REF!),"")</f>
        <v>#REF!</v>
      </c>
      <c r="AK33" s="115" t="e">
        <f>IF(AND('Mapa final'!#REF!="Media",'Mapa final'!#REF!="Catastrófico"),CONCATENATE("R8C",'Mapa final'!#REF!),"")</f>
        <v>#REF!</v>
      </c>
      <c r="AL33" s="115" t="e">
        <f>IF(AND('Mapa final'!#REF!="Media",'Mapa final'!#REF!="Catastrófico"),CONCATENATE("R8C",'Mapa final'!#REF!),"")</f>
        <v>#REF!</v>
      </c>
      <c r="AM33" s="116" t="e">
        <f>IF(AND('Mapa final'!#REF!="Media",'Mapa final'!#REF!="Catastrófico"),CONCATENATE("R8C",'Mapa final'!#REF!),"")</f>
        <v>#REF!</v>
      </c>
      <c r="AN33" s="37"/>
      <c r="AO33" s="544"/>
      <c r="AP33" s="545"/>
      <c r="AQ33" s="545"/>
      <c r="AR33" s="545"/>
      <c r="AS33" s="545"/>
      <c r="AT33" s="546"/>
    </row>
    <row r="34" spans="1:46" ht="15" customHeight="1" x14ac:dyDescent="0.25">
      <c r="A34" s="37"/>
      <c r="B34" s="463"/>
      <c r="C34" s="463"/>
      <c r="D34" s="464"/>
      <c r="E34" s="504"/>
      <c r="F34" s="505"/>
      <c r="G34" s="505"/>
      <c r="H34" s="505"/>
      <c r="I34" s="506"/>
      <c r="J34" s="81" t="str">
        <f>IF(AND('Mapa final'!$AB$24="Media",'Mapa final'!$AD$24="Leve"),CONCATENATE("R9C",'Mapa final'!$Q$24),"")</f>
        <v/>
      </c>
      <c r="K34" s="79" t="str">
        <f>IF(AND('Mapa final'!$AB$25="Media",'Mapa final'!$AD$25="Leve"),CONCATENATE("R9C",'Mapa final'!$Q$25),"")</f>
        <v/>
      </c>
      <c r="L34" s="79" t="str">
        <f>IF(AND('Mapa final'!$AB$26="Media",'Mapa final'!$AD$26="Leve"),CONCATENATE("R9C",'Mapa final'!$Q$26),"")</f>
        <v/>
      </c>
      <c r="M34" s="79" t="e">
        <f>IF(AND('Mapa final'!#REF!="Media",'Mapa final'!#REF!="Leve"),CONCATENATE("R9C",'Mapa final'!#REF!),"")</f>
        <v>#REF!</v>
      </c>
      <c r="N34" s="79" t="e">
        <f>IF(AND('Mapa final'!#REF!="Media",'Mapa final'!#REF!="Leve"),CONCATENATE("R9C",'Mapa final'!#REF!),"")</f>
        <v>#REF!</v>
      </c>
      <c r="O34" s="80" t="e">
        <f>IF(AND('Mapa final'!#REF!="Media",'Mapa final'!#REF!="Leve"),CONCATENATE("R9C",'Mapa final'!#REF!),"")</f>
        <v>#REF!</v>
      </c>
      <c r="P34" s="81" t="str">
        <f>IF(AND('Mapa final'!$AB$24="Media",'Mapa final'!$AD$24="Menor"),CONCATENATE("R9C",'Mapa final'!$Q$24),"")</f>
        <v/>
      </c>
      <c r="Q34" s="79" t="str">
        <f>IF(AND('Mapa final'!$AB$25="Media",'Mapa final'!$AD$25="Menor"),CONCATENATE("R9C",'Mapa final'!$Q$25),"")</f>
        <v/>
      </c>
      <c r="R34" s="79" t="str">
        <f>IF(AND('Mapa final'!$AB$26="Media",'Mapa final'!$AD$26="Menor"),CONCATENATE("R9C",'Mapa final'!$Q$26),"")</f>
        <v/>
      </c>
      <c r="S34" s="79" t="e">
        <f>IF(AND('Mapa final'!#REF!="Media",'Mapa final'!#REF!="Menor"),CONCATENATE("R9C",'Mapa final'!#REF!),"")</f>
        <v>#REF!</v>
      </c>
      <c r="T34" s="79" t="e">
        <f>IF(AND('Mapa final'!#REF!="Media",'Mapa final'!#REF!="Menor"),CONCATENATE("R9C",'Mapa final'!#REF!),"")</f>
        <v>#REF!</v>
      </c>
      <c r="U34" s="80" t="e">
        <f>IF(AND('Mapa final'!#REF!="Media",'Mapa final'!#REF!="Menor"),CONCATENATE("R9C",'Mapa final'!#REF!),"")</f>
        <v>#REF!</v>
      </c>
      <c r="V34" s="81" t="str">
        <f>IF(AND('Mapa final'!$AB$24="Media",'Mapa final'!$AD$24="Moderado"),CONCATENATE("R9C",'Mapa final'!$Q$24),"")</f>
        <v/>
      </c>
      <c r="W34" s="79" t="str">
        <f>IF(AND('Mapa final'!$AB$25="Media",'Mapa final'!$AD$25="Moderado"),CONCATENATE("R9C",'Mapa final'!$Q$25),"")</f>
        <v/>
      </c>
      <c r="X34" s="79" t="str">
        <f>IF(AND('Mapa final'!$AB$26="Media",'Mapa final'!$AD$26="Moderado"),CONCATENATE("R9C",'Mapa final'!$Q$26),"")</f>
        <v/>
      </c>
      <c r="Y34" s="79" t="e">
        <f>IF(AND('Mapa final'!#REF!="Media",'Mapa final'!#REF!="Moderado"),CONCATENATE("R9C",'Mapa final'!#REF!),"")</f>
        <v>#REF!</v>
      </c>
      <c r="Z34" s="79" t="e">
        <f>IF(AND('Mapa final'!#REF!="Media",'Mapa final'!#REF!="Moderado"),CONCATENATE("R9C",'Mapa final'!#REF!),"")</f>
        <v>#REF!</v>
      </c>
      <c r="AA34" s="80" t="e">
        <f>IF(AND('Mapa final'!#REF!="Media",'Mapa final'!#REF!="Moderado"),CONCATENATE("R9C",'Mapa final'!#REF!),"")</f>
        <v>#REF!</v>
      </c>
      <c r="AB34" s="98" t="str">
        <f>IF(AND('Mapa final'!$AB$24="Media",'Mapa final'!$AD$24="Mayor"),CONCATENATE("R9C",'Mapa final'!$Q$24),"")</f>
        <v/>
      </c>
      <c r="AC34" s="99" t="str">
        <f>IF(AND('Mapa final'!$AB$25="Media",'Mapa final'!$AD$25="Mayor"),CONCATENATE("R9C",'Mapa final'!$Q$25),"")</f>
        <v/>
      </c>
      <c r="AD34" s="99" t="str">
        <f>IF(AND('Mapa final'!$AB$26="Media",'Mapa final'!$AD$26="Mayor"),CONCATENATE("R9C",'Mapa final'!$Q$26),"")</f>
        <v/>
      </c>
      <c r="AE34" s="99" t="e">
        <f>IF(AND('Mapa final'!#REF!="Media",'Mapa final'!#REF!="Mayor"),CONCATENATE("R9C",'Mapa final'!#REF!),"")</f>
        <v>#REF!</v>
      </c>
      <c r="AF34" s="99" t="e">
        <f>IF(AND('Mapa final'!#REF!="Media",'Mapa final'!#REF!="Mayor"),CONCATENATE("R9C",'Mapa final'!#REF!),"")</f>
        <v>#REF!</v>
      </c>
      <c r="AG34" s="100" t="e">
        <f>IF(AND('Mapa final'!#REF!="Media",'Mapa final'!#REF!="Mayor"),CONCATENATE("R9C",'Mapa final'!#REF!),"")</f>
        <v>#REF!</v>
      </c>
      <c r="AH34" s="114" t="str">
        <f>IF(AND('Mapa final'!$AB$24="Media",'Mapa final'!$AD$24="Catastrófico"),CONCATENATE("R9C",'Mapa final'!$Q$24),"")</f>
        <v/>
      </c>
      <c r="AI34" s="115" t="str">
        <f>IF(AND('Mapa final'!$AB$25="Media",'Mapa final'!$AD$25="Catastrófico"),CONCATENATE("R9C",'Mapa final'!$Q$25),"")</f>
        <v/>
      </c>
      <c r="AJ34" s="115" t="str">
        <f>IF(AND('Mapa final'!$AB$26="Media",'Mapa final'!$AD$26="Catastrófico"),CONCATENATE("R9C",'Mapa final'!$Q$26),"")</f>
        <v/>
      </c>
      <c r="AK34" s="115" t="e">
        <f>IF(AND('Mapa final'!#REF!="Media",'Mapa final'!#REF!="Catastrófico"),CONCATENATE("R9C",'Mapa final'!#REF!),"")</f>
        <v>#REF!</v>
      </c>
      <c r="AL34" s="115" t="e">
        <f>IF(AND('Mapa final'!#REF!="Media",'Mapa final'!#REF!="Catastrófico"),CONCATENATE("R9C",'Mapa final'!#REF!),"")</f>
        <v>#REF!</v>
      </c>
      <c r="AM34" s="116" t="e">
        <f>IF(AND('Mapa final'!#REF!="Media",'Mapa final'!#REF!="Catastrófico"),CONCATENATE("R9C",'Mapa final'!#REF!),"")</f>
        <v>#REF!</v>
      </c>
      <c r="AN34" s="37"/>
      <c r="AO34" s="544"/>
      <c r="AP34" s="545"/>
      <c r="AQ34" s="545"/>
      <c r="AR34" s="545"/>
      <c r="AS34" s="545"/>
      <c r="AT34" s="546"/>
    </row>
    <row r="35" spans="1:46" ht="15.75" customHeight="1" thickBot="1" x14ac:dyDescent="0.3">
      <c r="A35" s="37"/>
      <c r="B35" s="463"/>
      <c r="C35" s="463"/>
      <c r="D35" s="464"/>
      <c r="E35" s="507"/>
      <c r="F35" s="508"/>
      <c r="G35" s="508"/>
      <c r="H35" s="508"/>
      <c r="I35" s="509"/>
      <c r="J35" s="81" t="str">
        <f>IF(AND('Mapa final'!$AB$27="Media",'Mapa final'!$AD$27="Leve"),CONCATENATE("R10C",'Mapa final'!$Q$27),"")</f>
        <v/>
      </c>
      <c r="K35" s="79" t="str">
        <f>IF(AND('Mapa final'!$AB$28="Media",'Mapa final'!$AD$28="Leve"),CONCATENATE("R10C",'Mapa final'!$Q$28),"")</f>
        <v/>
      </c>
      <c r="L35" s="79" t="str">
        <f>IF(AND('Mapa final'!$AB$29="Media",'Mapa final'!$AD$29="Leve"),CONCATENATE("R10C",'Mapa final'!$Q$29),"")</f>
        <v/>
      </c>
      <c r="M35" s="79" t="e">
        <f>IF(AND('Mapa final'!#REF!="Media",'Mapa final'!#REF!="Leve"),CONCATENATE("R10C",'Mapa final'!#REF!),"")</f>
        <v>#REF!</v>
      </c>
      <c r="N35" s="79" t="e">
        <f>IF(AND('Mapa final'!#REF!="Media",'Mapa final'!#REF!="Leve"),CONCATENATE("R10C",'Mapa final'!#REF!),"")</f>
        <v>#REF!</v>
      </c>
      <c r="O35" s="80" t="e">
        <f>IF(AND('Mapa final'!#REF!="Media",'Mapa final'!#REF!="Leve"),CONCATENATE("R10C",'Mapa final'!#REF!),"")</f>
        <v>#REF!</v>
      </c>
      <c r="P35" s="81" t="str">
        <f>IF(AND('Mapa final'!$AB$27="Media",'Mapa final'!$AD$27="Menor"),CONCATENATE("R10C",'Mapa final'!$Q$27),"")</f>
        <v/>
      </c>
      <c r="Q35" s="79" t="str">
        <f>IF(AND('Mapa final'!$AB$28="Media",'Mapa final'!$AD$28="Menor"),CONCATENATE("R10C",'Mapa final'!$Q$28),"")</f>
        <v/>
      </c>
      <c r="R35" s="79" t="str">
        <f>IF(AND('Mapa final'!$AB$29="Media",'Mapa final'!$AD$29="Menor"),CONCATENATE("R10C",'Mapa final'!$Q$29),"")</f>
        <v/>
      </c>
      <c r="S35" s="79" t="e">
        <f>IF(AND('Mapa final'!#REF!="Media",'Mapa final'!#REF!="Menor"),CONCATENATE("R10C",'Mapa final'!#REF!),"")</f>
        <v>#REF!</v>
      </c>
      <c r="T35" s="79" t="e">
        <f>IF(AND('Mapa final'!#REF!="Media",'Mapa final'!#REF!="Menor"),CONCATENATE("R10C",'Mapa final'!#REF!),"")</f>
        <v>#REF!</v>
      </c>
      <c r="U35" s="80" t="e">
        <f>IF(AND('Mapa final'!#REF!="Media",'Mapa final'!#REF!="Menor"),CONCATENATE("R10C",'Mapa final'!#REF!),"")</f>
        <v>#REF!</v>
      </c>
      <c r="V35" s="81" t="str">
        <f>IF(AND('Mapa final'!$AB$27="Media",'Mapa final'!$AD$27="Moderado"),CONCATENATE("R10C",'Mapa final'!$Q$27),"")</f>
        <v>R10C1</v>
      </c>
      <c r="W35" s="79" t="str">
        <f>IF(AND('Mapa final'!$AB$28="Media",'Mapa final'!$AD$28="Moderado"),CONCATENATE("R10C",'Mapa final'!$Q$28),"")</f>
        <v/>
      </c>
      <c r="X35" s="79" t="str">
        <f>IF(AND('Mapa final'!$AB$29="Media",'Mapa final'!$AD$29="Moderado"),CONCATENATE("R10C",'Mapa final'!$Q$29),"")</f>
        <v/>
      </c>
      <c r="Y35" s="79" t="e">
        <f>IF(AND('Mapa final'!#REF!="Media",'Mapa final'!#REF!="Moderado"),CONCATENATE("R10C",'Mapa final'!#REF!),"")</f>
        <v>#REF!</v>
      </c>
      <c r="Z35" s="79" t="e">
        <f>IF(AND('Mapa final'!#REF!="Media",'Mapa final'!#REF!="Moderado"),CONCATENATE("R10C",'Mapa final'!#REF!),"")</f>
        <v>#REF!</v>
      </c>
      <c r="AA35" s="80" t="e">
        <f>IF(AND('Mapa final'!#REF!="Media",'Mapa final'!#REF!="Moderado"),CONCATENATE("R10C",'Mapa final'!#REF!),"")</f>
        <v>#REF!</v>
      </c>
      <c r="AB35" s="101" t="str">
        <f>IF(AND('Mapa final'!$AB$27="Media",'Mapa final'!$AD$27="Mayor"),CONCATENATE("R10C",'Mapa final'!$Q$27),"")</f>
        <v/>
      </c>
      <c r="AC35" s="102" t="str">
        <f>IF(AND('Mapa final'!$AB$28="Media",'Mapa final'!$AD$28="Mayor"),CONCATENATE("R10C",'Mapa final'!$Q$28),"")</f>
        <v/>
      </c>
      <c r="AD35" s="102" t="str">
        <f>IF(AND('Mapa final'!$AB$29="Media",'Mapa final'!$AD$29="Mayor"),CONCATENATE("R10C",'Mapa final'!$Q$29),"")</f>
        <v/>
      </c>
      <c r="AE35" s="102" t="e">
        <f>IF(AND('Mapa final'!#REF!="Media",'Mapa final'!#REF!="Mayor"),CONCATENATE("R10C",'Mapa final'!#REF!),"")</f>
        <v>#REF!</v>
      </c>
      <c r="AF35" s="102" t="e">
        <f>IF(AND('Mapa final'!#REF!="Media",'Mapa final'!#REF!="Mayor"),CONCATENATE("R10C",'Mapa final'!#REF!),"")</f>
        <v>#REF!</v>
      </c>
      <c r="AG35" s="103" t="e">
        <f>IF(AND('Mapa final'!#REF!="Media",'Mapa final'!#REF!="Mayor"),CONCATENATE("R10C",'Mapa final'!#REF!),"")</f>
        <v>#REF!</v>
      </c>
      <c r="AH35" s="117" t="str">
        <f>IF(AND('Mapa final'!$AB$27="Media",'Mapa final'!$AD$27="Catastrófico"),CONCATENATE("R10C",'Mapa final'!$Q$27),"")</f>
        <v/>
      </c>
      <c r="AI35" s="118" t="str">
        <f>IF(AND('Mapa final'!$AB$28="Media",'Mapa final'!$AD$28="Catastrófico"),CONCATENATE("R10C",'Mapa final'!$Q$28),"")</f>
        <v/>
      </c>
      <c r="AJ35" s="118" t="str">
        <f>IF(AND('Mapa final'!$AB$29="Media",'Mapa final'!$AD$29="Catastrófico"),CONCATENATE("R10C",'Mapa final'!$Q$29),"")</f>
        <v/>
      </c>
      <c r="AK35" s="118" t="e">
        <f>IF(AND('Mapa final'!#REF!="Media",'Mapa final'!#REF!="Catastrófico"),CONCATENATE("R10C",'Mapa final'!#REF!),"")</f>
        <v>#REF!</v>
      </c>
      <c r="AL35" s="118" t="e">
        <f>IF(AND('Mapa final'!#REF!="Media",'Mapa final'!#REF!="Catastrófico"),CONCATENATE("R10C",'Mapa final'!#REF!),"")</f>
        <v>#REF!</v>
      </c>
      <c r="AM35" s="119" t="e">
        <f>IF(AND('Mapa final'!#REF!="Media",'Mapa final'!#REF!="Catastrófico"),CONCATENATE("R10C",'Mapa final'!#REF!),"")</f>
        <v>#REF!</v>
      </c>
      <c r="AN35" s="37"/>
      <c r="AO35" s="547"/>
      <c r="AP35" s="548"/>
      <c r="AQ35" s="548"/>
      <c r="AR35" s="548"/>
      <c r="AS35" s="548"/>
      <c r="AT35" s="549"/>
    </row>
    <row r="36" spans="1:46" ht="15" customHeight="1" x14ac:dyDescent="0.25">
      <c r="A36" s="37"/>
      <c r="B36" s="463"/>
      <c r="C36" s="463"/>
      <c r="D36" s="464"/>
      <c r="E36" s="501" t="s">
        <v>114</v>
      </c>
      <c r="F36" s="502"/>
      <c r="G36" s="502"/>
      <c r="H36" s="502"/>
      <c r="I36" s="502"/>
      <c r="J36" s="86" t="str">
        <f>IF(AND('Mapa final'!$AB$13="Baja",'Mapa final'!$AD$13="Leve"),CONCATENATE("R1C",'Mapa final'!$Q$13),"")</f>
        <v/>
      </c>
      <c r="K36" s="87" t="str">
        <f>IF(AND('Mapa final'!$AB$14="Baja",'Mapa final'!$AD$14="Leve"),CONCATENATE("R1C",'Mapa final'!$Q$14),"")</f>
        <v/>
      </c>
      <c r="L36" s="87" t="str">
        <f>IF(AND('Mapa final'!$AB$15="Baja",'Mapa final'!$AD$15="Leve"),CONCATENATE("R1C",'Mapa final'!$Q$15),"")</f>
        <v/>
      </c>
      <c r="M36" s="87" t="e">
        <f>IF(AND('Mapa final'!#REF!="Baja",'Mapa final'!#REF!="Leve"),CONCATENATE("R1C",'Mapa final'!#REF!),"")</f>
        <v>#REF!</v>
      </c>
      <c r="N36" s="87" t="e">
        <f>IF(AND('Mapa final'!#REF!="Baja",'Mapa final'!#REF!="Leve"),CONCATENATE("R1C",'Mapa final'!#REF!),"")</f>
        <v>#REF!</v>
      </c>
      <c r="O36" s="88" t="e">
        <f>IF(AND('Mapa final'!#REF!="Baja",'Mapa final'!#REF!="Leve"),CONCATENATE("R1C",'Mapa final'!#REF!),"")</f>
        <v>#REF!</v>
      </c>
      <c r="P36" s="32" t="str">
        <f>IF(AND('Mapa final'!$AB$13="Baja",'Mapa final'!$AD$13="Menor"),CONCATENATE("R1C",'Mapa final'!$Q$13),"")</f>
        <v/>
      </c>
      <c r="Q36" s="77" t="str">
        <f>IF(AND('Mapa final'!$AB$14="Baja",'Mapa final'!$AD$14="Menor"),CONCATENATE("R1C",'Mapa final'!$Q$14),"")</f>
        <v/>
      </c>
      <c r="R36" s="77" t="str">
        <f>IF(AND('Mapa final'!$AB$15="Baja",'Mapa final'!$AD$15="Menor"),CONCATENATE("R1C",'Mapa final'!$Q$15),"")</f>
        <v/>
      </c>
      <c r="S36" s="77" t="e">
        <f>IF(AND('Mapa final'!#REF!="Baja",'Mapa final'!#REF!="Menor"),CONCATENATE("R1C",'Mapa final'!#REF!),"")</f>
        <v>#REF!</v>
      </c>
      <c r="T36" s="77" t="e">
        <f>IF(AND('Mapa final'!#REF!="Baja",'Mapa final'!#REF!="Menor"),CONCATENATE("R1C",'Mapa final'!#REF!),"")</f>
        <v>#REF!</v>
      </c>
      <c r="U36" s="78" t="e">
        <f>IF(AND('Mapa final'!#REF!="Baja",'Mapa final'!#REF!="Menor"),CONCATENATE("R1C",'Mapa final'!#REF!),"")</f>
        <v>#REF!</v>
      </c>
      <c r="V36" s="82" t="str">
        <f>IF(AND('Mapa final'!$AB$13="Baja",'Mapa final'!$AD$13="Moderado"),CONCATENATE("R1C",'Mapa final'!$Q$13),"")</f>
        <v>R1C1</v>
      </c>
      <c r="W36" s="77" t="str">
        <f>IF(AND('Mapa final'!$AB$14="Baja",'Mapa final'!$AD$14="Moderado"),CONCATENATE("R1C",'Mapa final'!$Q$14),"")</f>
        <v/>
      </c>
      <c r="X36" s="77" t="str">
        <f>IF(AND('Mapa final'!$AB$15="Baja",'Mapa final'!$AD$15="Moderado"),CONCATENATE("R1C",'Mapa final'!$Q$15),"")</f>
        <v/>
      </c>
      <c r="Y36" s="77" t="e">
        <f>IF(AND('Mapa final'!#REF!="Baja",'Mapa final'!#REF!="Moderado"),CONCATENATE("R1C",'Mapa final'!#REF!),"")</f>
        <v>#REF!</v>
      </c>
      <c r="Z36" s="77" t="e">
        <f>IF(AND('Mapa final'!#REF!="Baja",'Mapa final'!#REF!="Moderado"),CONCATENATE("R1C",'Mapa final'!#REF!),"")</f>
        <v>#REF!</v>
      </c>
      <c r="AA36" s="78" t="e">
        <f>IF(AND('Mapa final'!#REF!="Baja",'Mapa final'!#REF!="Moderado"),CONCATENATE("R1C",'Mapa final'!#REF!),"")</f>
        <v>#REF!</v>
      </c>
      <c r="AB36" s="95" t="str">
        <f>IF(AND('Mapa final'!$AB$13="Baja",'Mapa final'!$AD$13="Mayor"),CONCATENATE("R1C",'Mapa final'!$Q$13),"")</f>
        <v/>
      </c>
      <c r="AC36" s="96" t="str">
        <f>IF(AND('Mapa final'!$AB$14="Baja",'Mapa final'!$AD$14="Mayor"),CONCATENATE("R1C",'Mapa final'!$Q$14),"")</f>
        <v/>
      </c>
      <c r="AD36" s="96" t="str">
        <f>IF(AND('Mapa final'!$AB$15="Baja",'Mapa final'!$AD$15="Mayor"),CONCATENATE("R1C",'Mapa final'!$Q$15),"")</f>
        <v/>
      </c>
      <c r="AE36" s="96" t="e">
        <f>IF(AND('Mapa final'!#REF!="Baja",'Mapa final'!#REF!="Mayor"),CONCATENATE("R1C",'Mapa final'!#REF!),"")</f>
        <v>#REF!</v>
      </c>
      <c r="AF36" s="96" t="e">
        <f>IF(AND('Mapa final'!#REF!="Baja",'Mapa final'!#REF!="Mayor"),CONCATENATE("R1C",'Mapa final'!#REF!),"")</f>
        <v>#REF!</v>
      </c>
      <c r="AG36" s="97" t="e">
        <f>IF(AND('Mapa final'!#REF!="Baja",'Mapa final'!#REF!="Mayor"),CONCATENATE("R1C",'Mapa final'!#REF!),"")</f>
        <v>#REF!</v>
      </c>
      <c r="AH36" s="111" t="str">
        <f>IF(AND('Mapa final'!$AB$13="Baja",'Mapa final'!$AD$13="Catastrófico"),CONCATENATE("R1C",'Mapa final'!$Q$13),"")</f>
        <v/>
      </c>
      <c r="AI36" s="112" t="str">
        <f>IF(AND('Mapa final'!$AB$14="Baja",'Mapa final'!$AD$14="Catastrófico"),CONCATENATE("R1C",'Mapa final'!$Q$14),"")</f>
        <v/>
      </c>
      <c r="AJ36" s="112" t="str">
        <f>IF(AND('Mapa final'!$AB$15="Baja",'Mapa final'!$AD$15="Catastrófico"),CONCATENATE("R1C",'Mapa final'!$Q$15),"")</f>
        <v/>
      </c>
      <c r="AK36" s="112" t="e">
        <f>IF(AND('Mapa final'!#REF!="Baja",'Mapa final'!#REF!="Catastrófico"),CONCATENATE("R1C",'Mapa final'!#REF!),"")</f>
        <v>#REF!</v>
      </c>
      <c r="AL36" s="112" t="e">
        <f>IF(AND('Mapa final'!#REF!="Baja",'Mapa final'!#REF!="Catastrófico"),CONCATENATE("R1C",'Mapa final'!#REF!),"")</f>
        <v>#REF!</v>
      </c>
      <c r="AM36" s="113" t="e">
        <f>IF(AND('Mapa final'!#REF!="Baja",'Mapa final'!#REF!="Catastrófico"),CONCATENATE("R1C",'Mapa final'!#REF!),"")</f>
        <v>#REF!</v>
      </c>
      <c r="AN36" s="37"/>
      <c r="AO36" s="532" t="s">
        <v>82</v>
      </c>
      <c r="AP36" s="533"/>
      <c r="AQ36" s="533"/>
      <c r="AR36" s="533"/>
      <c r="AS36" s="533"/>
      <c r="AT36" s="534"/>
    </row>
    <row r="37" spans="1:46" ht="15" customHeight="1" x14ac:dyDescent="0.25">
      <c r="A37" s="37"/>
      <c r="B37" s="463"/>
      <c r="C37" s="463"/>
      <c r="D37" s="464"/>
      <c r="E37" s="520"/>
      <c r="F37" s="505"/>
      <c r="G37" s="505"/>
      <c r="H37" s="505"/>
      <c r="I37" s="505"/>
      <c r="J37" s="89" t="str">
        <f>IF(AND('Mapa final'!$AB$16="Baja",'Mapa final'!$AD$16="Leve"),CONCATENATE("R2C",'Mapa final'!$Q$16),"")</f>
        <v/>
      </c>
      <c r="K37" s="90" t="e">
        <f>IF(AND('Mapa final'!#REF!="Baja",'Mapa final'!#REF!="Leve"),CONCATENATE("R2C",'Mapa final'!#REF!),"")</f>
        <v>#REF!</v>
      </c>
      <c r="L37" s="90" t="e">
        <f>IF(AND('Mapa final'!#REF!="Baja",'Mapa final'!#REF!="Leve"),CONCATENATE("R2C",'Mapa final'!#REF!),"")</f>
        <v>#REF!</v>
      </c>
      <c r="M37" s="90" t="e">
        <f>IF(AND('Mapa final'!#REF!="Baja",'Mapa final'!#REF!="Leve"),CONCATENATE("R2C",'Mapa final'!#REF!),"")</f>
        <v>#REF!</v>
      </c>
      <c r="N37" s="90" t="e">
        <f>IF(AND('Mapa final'!#REF!="Baja",'Mapa final'!#REF!="Leve"),CONCATENATE("R2C",'Mapa final'!#REF!),"")</f>
        <v>#REF!</v>
      </c>
      <c r="O37" s="91" t="e">
        <f>IF(AND('Mapa final'!#REF!="Baja",'Mapa final'!#REF!="Leve"),CONCATENATE("R2C",'Mapa final'!#REF!),"")</f>
        <v>#REF!</v>
      </c>
      <c r="P37" s="33" t="str">
        <f>IF(AND('Mapa final'!$AB$16="Baja",'Mapa final'!$AD$16="Menor"),CONCATENATE("R2C",'Mapa final'!$Q$16),"")</f>
        <v/>
      </c>
      <c r="Q37" s="79" t="e">
        <f>IF(AND('Mapa final'!#REF!="Baja",'Mapa final'!#REF!="Menor"),CONCATENATE("R2C",'Mapa final'!#REF!),"")</f>
        <v>#REF!</v>
      </c>
      <c r="R37" s="79" t="e">
        <f>IF(AND('Mapa final'!#REF!="Baja",'Mapa final'!#REF!="Menor"),CONCATENATE("R2C",'Mapa final'!#REF!),"")</f>
        <v>#REF!</v>
      </c>
      <c r="S37" s="79" t="e">
        <f>IF(AND('Mapa final'!#REF!="Baja",'Mapa final'!#REF!="Menor"),CONCATENATE("R2C",'Mapa final'!#REF!),"")</f>
        <v>#REF!</v>
      </c>
      <c r="T37" s="79" t="e">
        <f>IF(AND('Mapa final'!#REF!="Baja",'Mapa final'!#REF!="Menor"),CONCATENATE("R2C",'Mapa final'!#REF!),"")</f>
        <v>#REF!</v>
      </c>
      <c r="U37" s="80" t="e">
        <f>IF(AND('Mapa final'!#REF!="Baja",'Mapa final'!#REF!="Menor"),CONCATENATE("R2C",'Mapa final'!#REF!),"")</f>
        <v>#REF!</v>
      </c>
      <c r="V37" s="81" t="str">
        <f>IF(AND('Mapa final'!$AB$16="Baja",'Mapa final'!$AD$16="Moderado"),CONCATENATE("R2C",'Mapa final'!$Q$16),"")</f>
        <v>R2C1</v>
      </c>
      <c r="W37" s="79" t="e">
        <f>IF(AND('Mapa final'!#REF!="Baja",'Mapa final'!#REF!="Moderado"),CONCATENATE("R2C",'Mapa final'!#REF!),"")</f>
        <v>#REF!</v>
      </c>
      <c r="X37" s="79" t="e">
        <f>IF(AND('Mapa final'!#REF!="Baja",'Mapa final'!#REF!="Moderado"),CONCATENATE("R2C",'Mapa final'!#REF!),"")</f>
        <v>#REF!</v>
      </c>
      <c r="Y37" s="79" t="e">
        <f>IF(AND('Mapa final'!#REF!="Baja",'Mapa final'!#REF!="Moderado"),CONCATENATE("R2C",'Mapa final'!#REF!),"")</f>
        <v>#REF!</v>
      </c>
      <c r="Z37" s="79" t="e">
        <f>IF(AND('Mapa final'!#REF!="Baja",'Mapa final'!#REF!="Moderado"),CONCATENATE("R2C",'Mapa final'!#REF!),"")</f>
        <v>#REF!</v>
      </c>
      <c r="AA37" s="80" t="e">
        <f>IF(AND('Mapa final'!#REF!="Baja",'Mapa final'!#REF!="Moderado"),CONCATENATE("R2C",'Mapa final'!#REF!),"")</f>
        <v>#REF!</v>
      </c>
      <c r="AB37" s="98" t="str">
        <f>IF(AND('Mapa final'!$AB$16="Baja",'Mapa final'!$AD$16="Mayor"),CONCATENATE("R2C",'Mapa final'!$Q$16),"")</f>
        <v/>
      </c>
      <c r="AC37" s="99" t="e">
        <f>IF(AND('Mapa final'!#REF!="Baja",'Mapa final'!#REF!="Mayor"),CONCATENATE("R2C",'Mapa final'!#REF!),"")</f>
        <v>#REF!</v>
      </c>
      <c r="AD37" s="99" t="e">
        <f>IF(AND('Mapa final'!#REF!="Baja",'Mapa final'!#REF!="Mayor"),CONCATENATE("R2C",'Mapa final'!#REF!),"")</f>
        <v>#REF!</v>
      </c>
      <c r="AE37" s="99" t="e">
        <f>IF(AND('Mapa final'!#REF!="Baja",'Mapa final'!#REF!="Mayor"),CONCATENATE("R2C",'Mapa final'!#REF!),"")</f>
        <v>#REF!</v>
      </c>
      <c r="AF37" s="99" t="e">
        <f>IF(AND('Mapa final'!#REF!="Baja",'Mapa final'!#REF!="Mayor"),CONCATENATE("R2C",'Mapa final'!#REF!),"")</f>
        <v>#REF!</v>
      </c>
      <c r="AG37" s="100" t="e">
        <f>IF(AND('Mapa final'!#REF!="Baja",'Mapa final'!#REF!="Mayor"),CONCATENATE("R2C",'Mapa final'!#REF!),"")</f>
        <v>#REF!</v>
      </c>
      <c r="AH37" s="114" t="str">
        <f>IF(AND('Mapa final'!$AB$16="Baja",'Mapa final'!$AD$16="Catastrófico"),CONCATENATE("R2C",'Mapa final'!$Q$16),"")</f>
        <v/>
      </c>
      <c r="AI37" s="115" t="e">
        <f>IF(AND('Mapa final'!#REF!="Baja",'Mapa final'!#REF!="Catastrófico"),CONCATENATE("R2C",'Mapa final'!#REF!),"")</f>
        <v>#REF!</v>
      </c>
      <c r="AJ37" s="115" t="e">
        <f>IF(AND('Mapa final'!#REF!="Baja",'Mapa final'!#REF!="Catastrófico"),CONCATENATE("R2C",'Mapa final'!#REF!),"")</f>
        <v>#REF!</v>
      </c>
      <c r="AK37" s="115" t="e">
        <f>IF(AND('Mapa final'!#REF!="Baja",'Mapa final'!#REF!="Catastrófico"),CONCATENATE("R2C",'Mapa final'!#REF!),"")</f>
        <v>#REF!</v>
      </c>
      <c r="AL37" s="115" t="e">
        <f>IF(AND('Mapa final'!#REF!="Baja",'Mapa final'!#REF!="Catastrófico"),CONCATENATE("R2C",'Mapa final'!#REF!),"")</f>
        <v>#REF!</v>
      </c>
      <c r="AM37" s="116" t="e">
        <f>IF(AND('Mapa final'!#REF!="Baja",'Mapa final'!#REF!="Catastrófico"),CONCATENATE("R2C",'Mapa final'!#REF!),"")</f>
        <v>#REF!</v>
      </c>
      <c r="AN37" s="37"/>
      <c r="AO37" s="535"/>
      <c r="AP37" s="536"/>
      <c r="AQ37" s="536"/>
      <c r="AR37" s="536"/>
      <c r="AS37" s="536"/>
      <c r="AT37" s="537"/>
    </row>
    <row r="38" spans="1:46" ht="15" customHeight="1" x14ac:dyDescent="0.25">
      <c r="A38" s="37"/>
      <c r="B38" s="463"/>
      <c r="C38" s="463"/>
      <c r="D38" s="464"/>
      <c r="E38" s="504"/>
      <c r="F38" s="505"/>
      <c r="G38" s="505"/>
      <c r="H38" s="505"/>
      <c r="I38" s="505"/>
      <c r="J38" s="89" t="str">
        <f>IF(AND('Mapa final'!$AB$17="Baja",'Mapa final'!$AD$17="Leve"),CONCATENATE("R3C",'Mapa final'!$Q$17),"")</f>
        <v/>
      </c>
      <c r="K38" s="90" t="e">
        <f>IF(AND('Mapa final'!#REF!="Baja",'Mapa final'!#REF!="Leve"),CONCATENATE("R3C",'Mapa final'!#REF!),"")</f>
        <v>#REF!</v>
      </c>
      <c r="L38" s="90" t="e">
        <f>IF(AND('Mapa final'!#REF!="Baja",'Mapa final'!#REF!="Leve"),CONCATENATE("R3C",'Mapa final'!#REF!),"")</f>
        <v>#REF!</v>
      </c>
      <c r="M38" s="90" t="e">
        <f>IF(AND('Mapa final'!#REF!="Baja",'Mapa final'!#REF!="Leve"),CONCATENATE("R3C",'Mapa final'!#REF!),"")</f>
        <v>#REF!</v>
      </c>
      <c r="N38" s="90" t="e">
        <f>IF(AND('Mapa final'!#REF!="Baja",'Mapa final'!#REF!="Leve"),CONCATENATE("R3C",'Mapa final'!#REF!),"")</f>
        <v>#REF!</v>
      </c>
      <c r="O38" s="91" t="e">
        <f>IF(AND('Mapa final'!#REF!="Baja",'Mapa final'!#REF!="Leve"),CONCATENATE("R3C",'Mapa final'!#REF!),"")</f>
        <v>#REF!</v>
      </c>
      <c r="P38" s="33" t="str">
        <f>IF(AND('Mapa final'!$AB$17="Baja",'Mapa final'!$AD$17="Menor"),CONCATENATE("R3C",'Mapa final'!$Q$17),"")</f>
        <v/>
      </c>
      <c r="Q38" s="79" t="e">
        <f>IF(AND('Mapa final'!#REF!="Baja",'Mapa final'!#REF!="Menor"),CONCATENATE("R3C",'Mapa final'!#REF!),"")</f>
        <v>#REF!</v>
      </c>
      <c r="R38" s="79" t="e">
        <f>IF(AND('Mapa final'!#REF!="Baja",'Mapa final'!#REF!="Menor"),CONCATENATE("R3C",'Mapa final'!#REF!),"")</f>
        <v>#REF!</v>
      </c>
      <c r="S38" s="79" t="e">
        <f>IF(AND('Mapa final'!#REF!="Baja",'Mapa final'!#REF!="Menor"),CONCATENATE("R3C",'Mapa final'!#REF!),"")</f>
        <v>#REF!</v>
      </c>
      <c r="T38" s="79" t="e">
        <f>IF(AND('Mapa final'!#REF!="Baja",'Mapa final'!#REF!="Menor"),CONCATENATE("R3C",'Mapa final'!#REF!),"")</f>
        <v>#REF!</v>
      </c>
      <c r="U38" s="80" t="e">
        <f>IF(AND('Mapa final'!#REF!="Baja",'Mapa final'!#REF!="Menor"),CONCATENATE("R3C",'Mapa final'!#REF!),"")</f>
        <v>#REF!</v>
      </c>
      <c r="V38" s="81" t="str">
        <f>IF(AND('Mapa final'!$AB$17="Baja",'Mapa final'!$AD$17="Moderado"),CONCATENATE("R3C",'Mapa final'!$Q$17),"")</f>
        <v>R3C1</v>
      </c>
      <c r="W38" s="79" t="e">
        <f>IF(AND('Mapa final'!#REF!="Baja",'Mapa final'!#REF!="Moderado"),CONCATENATE("R3C",'Mapa final'!#REF!),"")</f>
        <v>#REF!</v>
      </c>
      <c r="X38" s="79" t="e">
        <f>IF(AND('Mapa final'!#REF!="Baja",'Mapa final'!#REF!="Moderado"),CONCATENATE("R3C",'Mapa final'!#REF!),"")</f>
        <v>#REF!</v>
      </c>
      <c r="Y38" s="79" t="e">
        <f>IF(AND('Mapa final'!#REF!="Baja",'Mapa final'!#REF!="Moderado"),CONCATENATE("R3C",'Mapa final'!#REF!),"")</f>
        <v>#REF!</v>
      </c>
      <c r="Z38" s="79" t="e">
        <f>IF(AND('Mapa final'!#REF!="Baja",'Mapa final'!#REF!="Moderado"),CONCATENATE("R3C",'Mapa final'!#REF!),"")</f>
        <v>#REF!</v>
      </c>
      <c r="AA38" s="80" t="e">
        <f>IF(AND('Mapa final'!#REF!="Baja",'Mapa final'!#REF!="Moderado"),CONCATENATE("R3C",'Mapa final'!#REF!),"")</f>
        <v>#REF!</v>
      </c>
      <c r="AB38" s="98" t="str">
        <f>IF(AND('Mapa final'!$AB$17="Baja",'Mapa final'!$AD$17="Mayor"),CONCATENATE("R3C",'Mapa final'!$Q$17),"")</f>
        <v/>
      </c>
      <c r="AC38" s="99" t="e">
        <f>IF(AND('Mapa final'!#REF!="Baja",'Mapa final'!#REF!="Mayor"),CONCATENATE("R3C",'Mapa final'!#REF!),"")</f>
        <v>#REF!</v>
      </c>
      <c r="AD38" s="99" t="e">
        <f>IF(AND('Mapa final'!#REF!="Baja",'Mapa final'!#REF!="Mayor"),CONCATENATE("R3C",'Mapa final'!#REF!),"")</f>
        <v>#REF!</v>
      </c>
      <c r="AE38" s="99" t="e">
        <f>IF(AND('Mapa final'!#REF!="Baja",'Mapa final'!#REF!="Mayor"),CONCATENATE("R3C",'Mapa final'!#REF!),"")</f>
        <v>#REF!</v>
      </c>
      <c r="AF38" s="99" t="e">
        <f>IF(AND('Mapa final'!#REF!="Baja",'Mapa final'!#REF!="Mayor"),CONCATENATE("R3C",'Mapa final'!#REF!),"")</f>
        <v>#REF!</v>
      </c>
      <c r="AG38" s="100" t="e">
        <f>IF(AND('Mapa final'!#REF!="Baja",'Mapa final'!#REF!="Mayor"),CONCATENATE("R3C",'Mapa final'!#REF!),"")</f>
        <v>#REF!</v>
      </c>
      <c r="AH38" s="114" t="str">
        <f>IF(AND('Mapa final'!$AB$17="Baja",'Mapa final'!$AD$17="Catastrófico"),CONCATENATE("R3C",'Mapa final'!$Q$17),"")</f>
        <v/>
      </c>
      <c r="AI38" s="115" t="e">
        <f>IF(AND('Mapa final'!#REF!="Baja",'Mapa final'!#REF!="Catastrófico"),CONCATENATE("R3C",'Mapa final'!#REF!),"")</f>
        <v>#REF!</v>
      </c>
      <c r="AJ38" s="115" t="e">
        <f>IF(AND('Mapa final'!#REF!="Baja",'Mapa final'!#REF!="Catastrófico"),CONCATENATE("R3C",'Mapa final'!#REF!),"")</f>
        <v>#REF!</v>
      </c>
      <c r="AK38" s="115" t="e">
        <f>IF(AND('Mapa final'!#REF!="Baja",'Mapa final'!#REF!="Catastrófico"),CONCATENATE("R3C",'Mapa final'!#REF!),"")</f>
        <v>#REF!</v>
      </c>
      <c r="AL38" s="115" t="e">
        <f>IF(AND('Mapa final'!#REF!="Baja",'Mapa final'!#REF!="Catastrófico"),CONCATENATE("R3C",'Mapa final'!#REF!),"")</f>
        <v>#REF!</v>
      </c>
      <c r="AM38" s="116" t="e">
        <f>IF(AND('Mapa final'!#REF!="Baja",'Mapa final'!#REF!="Catastrófico"),CONCATENATE("R3C",'Mapa final'!#REF!),"")</f>
        <v>#REF!</v>
      </c>
      <c r="AN38" s="37"/>
      <c r="AO38" s="535"/>
      <c r="AP38" s="536"/>
      <c r="AQ38" s="536"/>
      <c r="AR38" s="536"/>
      <c r="AS38" s="536"/>
      <c r="AT38" s="537"/>
    </row>
    <row r="39" spans="1:46" ht="15" customHeight="1" x14ac:dyDescent="0.25">
      <c r="A39" s="37"/>
      <c r="B39" s="463"/>
      <c r="C39" s="463"/>
      <c r="D39" s="464"/>
      <c r="E39" s="504"/>
      <c r="F39" s="505"/>
      <c r="G39" s="505"/>
      <c r="H39" s="505"/>
      <c r="I39" s="505"/>
      <c r="J39" s="89" t="str">
        <f>IF(AND('Mapa final'!$AB$18="Baja",'Mapa final'!$AD$18="Leve"),CONCATENATE("R4C",'Mapa final'!$Q$18),"")</f>
        <v/>
      </c>
      <c r="K39" s="90" t="e">
        <f>IF(AND('Mapa final'!#REF!="Baja",'Mapa final'!#REF!="Leve"),CONCATENATE("R4C",'Mapa final'!#REF!),"")</f>
        <v>#REF!</v>
      </c>
      <c r="L39" s="90" t="e">
        <f>IF(AND('Mapa final'!#REF!="Baja",'Mapa final'!#REF!="Leve"),CONCATENATE("R4C",'Mapa final'!#REF!),"")</f>
        <v>#REF!</v>
      </c>
      <c r="M39" s="90" t="e">
        <f>IF(AND('Mapa final'!#REF!="Baja",'Mapa final'!#REF!="Leve"),CONCATENATE("R4C",'Mapa final'!#REF!),"")</f>
        <v>#REF!</v>
      </c>
      <c r="N39" s="90" t="e">
        <f>IF(AND('Mapa final'!#REF!="Baja",'Mapa final'!#REF!="Leve"),CONCATENATE("R4C",'Mapa final'!#REF!),"")</f>
        <v>#REF!</v>
      </c>
      <c r="O39" s="91" t="e">
        <f>IF(AND('Mapa final'!#REF!="Baja",'Mapa final'!#REF!="Leve"),CONCATENATE("R4C",'Mapa final'!#REF!),"")</f>
        <v>#REF!</v>
      </c>
      <c r="P39" s="33" t="str">
        <f>IF(AND('Mapa final'!$AB$18="Baja",'Mapa final'!$AD$18="Menor"),CONCATENATE("R4C",'Mapa final'!$Q$18),"")</f>
        <v/>
      </c>
      <c r="Q39" s="79" t="e">
        <f>IF(AND('Mapa final'!#REF!="Baja",'Mapa final'!#REF!="Menor"),CONCATENATE("R4C",'Mapa final'!#REF!),"")</f>
        <v>#REF!</v>
      </c>
      <c r="R39" s="79" t="e">
        <f>IF(AND('Mapa final'!#REF!="Baja",'Mapa final'!#REF!="Menor"),CONCATENATE("R4C",'Mapa final'!#REF!),"")</f>
        <v>#REF!</v>
      </c>
      <c r="S39" s="79" t="e">
        <f>IF(AND('Mapa final'!#REF!="Baja",'Mapa final'!#REF!="Menor"),CONCATENATE("R4C",'Mapa final'!#REF!),"")</f>
        <v>#REF!</v>
      </c>
      <c r="T39" s="79" t="e">
        <f>IF(AND('Mapa final'!#REF!="Baja",'Mapa final'!#REF!="Menor"),CONCATENATE("R4C",'Mapa final'!#REF!),"")</f>
        <v>#REF!</v>
      </c>
      <c r="U39" s="80" t="e">
        <f>IF(AND('Mapa final'!#REF!="Baja",'Mapa final'!#REF!="Menor"),CONCATENATE("R4C",'Mapa final'!#REF!),"")</f>
        <v>#REF!</v>
      </c>
      <c r="V39" s="81" t="str">
        <f>IF(AND('Mapa final'!$AB$18="Baja",'Mapa final'!$AD$18="Moderado"),CONCATENATE("R4C",'Mapa final'!$Q$18),"")</f>
        <v>R4C1</v>
      </c>
      <c r="W39" s="79" t="e">
        <f>IF(AND('Mapa final'!#REF!="Baja",'Mapa final'!#REF!="Moderado"),CONCATENATE("R4C",'Mapa final'!#REF!),"")</f>
        <v>#REF!</v>
      </c>
      <c r="X39" s="79" t="e">
        <f>IF(AND('Mapa final'!#REF!="Baja",'Mapa final'!#REF!="Moderado"),CONCATENATE("R4C",'Mapa final'!#REF!),"")</f>
        <v>#REF!</v>
      </c>
      <c r="Y39" s="79" t="e">
        <f>IF(AND('Mapa final'!#REF!="Baja",'Mapa final'!#REF!="Moderado"),CONCATENATE("R4C",'Mapa final'!#REF!),"")</f>
        <v>#REF!</v>
      </c>
      <c r="Z39" s="79" t="e">
        <f>IF(AND('Mapa final'!#REF!="Baja",'Mapa final'!#REF!="Moderado"),CONCATENATE("R4C",'Mapa final'!#REF!),"")</f>
        <v>#REF!</v>
      </c>
      <c r="AA39" s="80" t="e">
        <f>IF(AND('Mapa final'!#REF!="Baja",'Mapa final'!#REF!="Moderado"),CONCATENATE("R4C",'Mapa final'!#REF!),"")</f>
        <v>#REF!</v>
      </c>
      <c r="AB39" s="98" t="str">
        <f>IF(AND('Mapa final'!$AB$18="Baja",'Mapa final'!$AD$18="Mayor"),CONCATENATE("R4C",'Mapa final'!$Q$18),"")</f>
        <v/>
      </c>
      <c r="AC39" s="99" t="e">
        <f>IF(AND('Mapa final'!#REF!="Baja",'Mapa final'!#REF!="Mayor"),CONCATENATE("R4C",'Mapa final'!#REF!),"")</f>
        <v>#REF!</v>
      </c>
      <c r="AD39" s="99" t="e">
        <f>IF(AND('Mapa final'!#REF!="Baja",'Mapa final'!#REF!="Mayor"),CONCATENATE("R4C",'Mapa final'!#REF!),"")</f>
        <v>#REF!</v>
      </c>
      <c r="AE39" s="99" t="e">
        <f>IF(AND('Mapa final'!#REF!="Baja",'Mapa final'!#REF!="Mayor"),CONCATENATE("R4C",'Mapa final'!#REF!),"")</f>
        <v>#REF!</v>
      </c>
      <c r="AF39" s="99" t="e">
        <f>IF(AND('Mapa final'!#REF!="Baja",'Mapa final'!#REF!="Mayor"),CONCATENATE("R4C",'Mapa final'!#REF!),"")</f>
        <v>#REF!</v>
      </c>
      <c r="AG39" s="100" t="e">
        <f>IF(AND('Mapa final'!#REF!="Baja",'Mapa final'!#REF!="Mayor"),CONCATENATE("R4C",'Mapa final'!#REF!),"")</f>
        <v>#REF!</v>
      </c>
      <c r="AH39" s="114" t="str">
        <f>IF(AND('Mapa final'!$AB$18="Baja",'Mapa final'!$AD$18="Catastrófico"),CONCATENATE("R4C",'Mapa final'!$Q$18),"")</f>
        <v/>
      </c>
      <c r="AI39" s="115" t="e">
        <f>IF(AND('Mapa final'!#REF!="Baja",'Mapa final'!#REF!="Catastrófico"),CONCATENATE("R4C",'Mapa final'!#REF!),"")</f>
        <v>#REF!</v>
      </c>
      <c r="AJ39" s="115" t="e">
        <f>IF(AND('Mapa final'!#REF!="Baja",'Mapa final'!#REF!="Catastrófico"),CONCATENATE("R4C",'Mapa final'!#REF!),"")</f>
        <v>#REF!</v>
      </c>
      <c r="AK39" s="115" t="e">
        <f>IF(AND('Mapa final'!#REF!="Baja",'Mapa final'!#REF!="Catastrófico"),CONCATENATE("R4C",'Mapa final'!#REF!),"")</f>
        <v>#REF!</v>
      </c>
      <c r="AL39" s="115" t="e">
        <f>IF(AND('Mapa final'!#REF!="Baja",'Mapa final'!#REF!="Catastrófico"),CONCATENATE("R4C",'Mapa final'!#REF!),"")</f>
        <v>#REF!</v>
      </c>
      <c r="AM39" s="116" t="e">
        <f>IF(AND('Mapa final'!#REF!="Baja",'Mapa final'!#REF!="Catastrófico"),CONCATENATE("R4C",'Mapa final'!#REF!),"")</f>
        <v>#REF!</v>
      </c>
      <c r="AN39" s="37"/>
      <c r="AO39" s="535"/>
      <c r="AP39" s="536"/>
      <c r="AQ39" s="536"/>
      <c r="AR39" s="536"/>
      <c r="AS39" s="536"/>
      <c r="AT39" s="537"/>
    </row>
    <row r="40" spans="1:46" ht="15" customHeight="1" x14ac:dyDescent="0.25">
      <c r="A40" s="37"/>
      <c r="B40" s="463"/>
      <c r="C40" s="463"/>
      <c r="D40" s="464"/>
      <c r="E40" s="504"/>
      <c r="F40" s="505"/>
      <c r="G40" s="505"/>
      <c r="H40" s="505"/>
      <c r="I40" s="505"/>
      <c r="J40" s="89" t="str">
        <f>IF(AND('Mapa final'!$AB$19="Baja",'Mapa final'!$AD$19="Leve"),CONCATENATE("R5C",'Mapa final'!$Q$19),"")</f>
        <v>R5C1</v>
      </c>
      <c r="K40" s="90" t="str">
        <f>IF(AND('Mapa final'!$AB$20="Baja",'Mapa final'!$AD$20="Leve"),CONCATENATE("R5C",'Mapa final'!$Q$20),"")</f>
        <v/>
      </c>
      <c r="L40" s="90" t="e">
        <f>IF(AND('Mapa final'!#REF!="Baja",'Mapa final'!#REF!="Leve"),CONCATENATE("R5C",'Mapa final'!#REF!),"")</f>
        <v>#REF!</v>
      </c>
      <c r="M40" s="90" t="e">
        <f>IF(AND('Mapa final'!#REF!="Baja",'Mapa final'!#REF!="Leve"),CONCATENATE("R5C",'Mapa final'!#REF!),"")</f>
        <v>#REF!</v>
      </c>
      <c r="N40" s="90" t="e">
        <f>IF(AND('Mapa final'!#REF!="Baja",'Mapa final'!#REF!="Leve"),CONCATENATE("R5C",'Mapa final'!#REF!),"")</f>
        <v>#REF!</v>
      </c>
      <c r="O40" s="91" t="e">
        <f>IF(AND('Mapa final'!#REF!="Baja",'Mapa final'!#REF!="Leve"),CONCATENATE("R5C",'Mapa final'!#REF!),"")</f>
        <v>#REF!</v>
      </c>
      <c r="P40" s="33" t="str">
        <f>IF(AND('Mapa final'!$AB$19="Baja",'Mapa final'!$AD$19="Menor"),CONCATENATE("R5C",'Mapa final'!$Q$19),"")</f>
        <v/>
      </c>
      <c r="Q40" s="79" t="str">
        <f>IF(AND('Mapa final'!$AB$20="Baja",'Mapa final'!$AD$20="Menor"),CONCATENATE("R5C",'Mapa final'!$Q$20),"")</f>
        <v/>
      </c>
      <c r="R40" s="79" t="e">
        <f>IF(AND('Mapa final'!#REF!="Baja",'Mapa final'!#REF!="Menor"),CONCATENATE("R5C",'Mapa final'!#REF!),"")</f>
        <v>#REF!</v>
      </c>
      <c r="S40" s="79" t="e">
        <f>IF(AND('Mapa final'!#REF!="Baja",'Mapa final'!#REF!="Menor"),CONCATENATE("R5C",'Mapa final'!#REF!),"")</f>
        <v>#REF!</v>
      </c>
      <c r="T40" s="79" t="e">
        <f>IF(AND('Mapa final'!#REF!="Baja",'Mapa final'!#REF!="Menor"),CONCATENATE("R5C",'Mapa final'!#REF!),"")</f>
        <v>#REF!</v>
      </c>
      <c r="U40" s="80" t="e">
        <f>IF(AND('Mapa final'!#REF!="Baja",'Mapa final'!#REF!="Menor"),CONCATENATE("R5C",'Mapa final'!#REF!),"")</f>
        <v>#REF!</v>
      </c>
      <c r="V40" s="81" t="str">
        <f>IF(AND('Mapa final'!$AB$19="Baja",'Mapa final'!$AD$19="Moderado"),CONCATENATE("R5C",'Mapa final'!$Q$19),"")</f>
        <v/>
      </c>
      <c r="W40" s="79" t="str">
        <f>IF(AND('Mapa final'!$AB$20="Baja",'Mapa final'!$AD$20="Moderado"),CONCATENATE("R5C",'Mapa final'!$Q$20),"")</f>
        <v/>
      </c>
      <c r="X40" s="79" t="e">
        <f>IF(AND('Mapa final'!#REF!="Baja",'Mapa final'!#REF!="Moderado"),CONCATENATE("R5C",'Mapa final'!#REF!),"")</f>
        <v>#REF!</v>
      </c>
      <c r="Y40" s="79" t="e">
        <f>IF(AND('Mapa final'!#REF!="Baja",'Mapa final'!#REF!="Moderado"),CONCATENATE("R5C",'Mapa final'!#REF!),"")</f>
        <v>#REF!</v>
      </c>
      <c r="Z40" s="79" t="e">
        <f>IF(AND('Mapa final'!#REF!="Baja",'Mapa final'!#REF!="Moderado"),CONCATENATE("R5C",'Mapa final'!#REF!),"")</f>
        <v>#REF!</v>
      </c>
      <c r="AA40" s="80" t="e">
        <f>IF(AND('Mapa final'!#REF!="Baja",'Mapa final'!#REF!="Moderado"),CONCATENATE("R5C",'Mapa final'!#REF!),"")</f>
        <v>#REF!</v>
      </c>
      <c r="AB40" s="98" t="str">
        <f>IF(AND('Mapa final'!$AB$19="Baja",'Mapa final'!$AD$19="Mayor"),CONCATENATE("R5C",'Mapa final'!$Q$19),"")</f>
        <v/>
      </c>
      <c r="AC40" s="99" t="str">
        <f>IF(AND('Mapa final'!$AB$20="Baja",'Mapa final'!$AD$20="Mayor"),CONCATENATE("R5C",'Mapa final'!$Q$20),"")</f>
        <v/>
      </c>
      <c r="AD40" s="99" t="e">
        <f>IF(AND('Mapa final'!#REF!="Baja",'Mapa final'!#REF!="Mayor"),CONCATENATE("R5C",'Mapa final'!#REF!),"")</f>
        <v>#REF!</v>
      </c>
      <c r="AE40" s="99" t="e">
        <f>IF(AND('Mapa final'!#REF!="Baja",'Mapa final'!#REF!="Mayor"),CONCATENATE("R5C",'Mapa final'!#REF!),"")</f>
        <v>#REF!</v>
      </c>
      <c r="AF40" s="99" t="e">
        <f>IF(AND('Mapa final'!#REF!="Baja",'Mapa final'!#REF!="Mayor"),CONCATENATE("R5C",'Mapa final'!#REF!),"")</f>
        <v>#REF!</v>
      </c>
      <c r="AG40" s="100" t="e">
        <f>IF(AND('Mapa final'!#REF!="Baja",'Mapa final'!#REF!="Mayor"),CONCATENATE("R5C",'Mapa final'!#REF!),"")</f>
        <v>#REF!</v>
      </c>
      <c r="AH40" s="114" t="str">
        <f>IF(AND('Mapa final'!$AB$19="Baja",'Mapa final'!$AD$19="Catastrófico"),CONCATENATE("R5C",'Mapa final'!$Q$19),"")</f>
        <v/>
      </c>
      <c r="AI40" s="115" t="str">
        <f>IF(AND('Mapa final'!$AB$20="Baja",'Mapa final'!$AD$20="Catastrófico"),CONCATENATE("R5C",'Mapa final'!$Q$20),"")</f>
        <v/>
      </c>
      <c r="AJ40" s="115" t="e">
        <f>IF(AND('Mapa final'!#REF!="Baja",'Mapa final'!#REF!="Catastrófico"),CONCATENATE("R5C",'Mapa final'!#REF!),"")</f>
        <v>#REF!</v>
      </c>
      <c r="AK40" s="115" t="e">
        <f>IF(AND('Mapa final'!#REF!="Baja",'Mapa final'!#REF!="Catastrófico"),CONCATENATE("R5C",'Mapa final'!#REF!),"")</f>
        <v>#REF!</v>
      </c>
      <c r="AL40" s="115" t="e">
        <f>IF(AND('Mapa final'!#REF!="Baja",'Mapa final'!#REF!="Catastrófico"),CONCATENATE("R5C",'Mapa final'!#REF!),"")</f>
        <v>#REF!</v>
      </c>
      <c r="AM40" s="116" t="e">
        <f>IF(AND('Mapa final'!#REF!="Baja",'Mapa final'!#REF!="Catastrófico"),CONCATENATE("R5C",'Mapa final'!#REF!),"")</f>
        <v>#REF!</v>
      </c>
      <c r="AN40" s="37"/>
      <c r="AO40" s="535"/>
      <c r="AP40" s="536"/>
      <c r="AQ40" s="536"/>
      <c r="AR40" s="536"/>
      <c r="AS40" s="536"/>
      <c r="AT40" s="537"/>
    </row>
    <row r="41" spans="1:46" ht="15" customHeight="1" x14ac:dyDescent="0.25">
      <c r="A41" s="37"/>
      <c r="B41" s="463"/>
      <c r="C41" s="463"/>
      <c r="D41" s="464"/>
      <c r="E41" s="504"/>
      <c r="F41" s="505"/>
      <c r="G41" s="505"/>
      <c r="H41" s="505"/>
      <c r="I41" s="505"/>
      <c r="J41" s="89" t="str">
        <f>IF(AND('Mapa final'!$AB$21="Baja",'Mapa final'!$AD$21="Leve"),CONCATENATE("R6C",'Mapa final'!$Q$21),"")</f>
        <v>R6C1</v>
      </c>
      <c r="K41" s="90" t="e">
        <f>IF(AND('Mapa final'!#REF!="Baja",'Mapa final'!#REF!="Leve"),CONCATENATE("R6C",'Mapa final'!#REF!),"")</f>
        <v>#REF!</v>
      </c>
      <c r="L41" s="90" t="e">
        <f>IF(AND('Mapa final'!#REF!="Baja",'Mapa final'!#REF!="Leve"),CONCATENATE("R6C",'Mapa final'!#REF!),"")</f>
        <v>#REF!</v>
      </c>
      <c r="M41" s="90" t="e">
        <f>IF(AND('Mapa final'!#REF!="Baja",'Mapa final'!#REF!="Leve"),CONCATENATE("R6C",'Mapa final'!#REF!),"")</f>
        <v>#REF!</v>
      </c>
      <c r="N41" s="90" t="e">
        <f>IF(AND('Mapa final'!#REF!="Baja",'Mapa final'!#REF!="Leve"),CONCATENATE("R6C",'Mapa final'!#REF!),"")</f>
        <v>#REF!</v>
      </c>
      <c r="O41" s="91" t="e">
        <f>IF(AND('Mapa final'!#REF!="Baja",'Mapa final'!#REF!="Leve"),CONCATENATE("R6C",'Mapa final'!#REF!),"")</f>
        <v>#REF!</v>
      </c>
      <c r="P41" s="33" t="str">
        <f>IF(AND('Mapa final'!$AB$21="Baja",'Mapa final'!$AD$21="Menor"),CONCATENATE("R6C",'Mapa final'!$Q$21),"")</f>
        <v/>
      </c>
      <c r="Q41" s="79" t="e">
        <f>IF(AND('Mapa final'!#REF!="Baja",'Mapa final'!#REF!="Menor"),CONCATENATE("R6C",'Mapa final'!#REF!),"")</f>
        <v>#REF!</v>
      </c>
      <c r="R41" s="79" t="e">
        <f>IF(AND('Mapa final'!#REF!="Baja",'Mapa final'!#REF!="Menor"),CONCATENATE("R6C",'Mapa final'!#REF!),"")</f>
        <v>#REF!</v>
      </c>
      <c r="S41" s="79" t="e">
        <f>IF(AND('Mapa final'!#REF!="Baja",'Mapa final'!#REF!="Menor"),CONCATENATE("R6C",'Mapa final'!#REF!),"")</f>
        <v>#REF!</v>
      </c>
      <c r="T41" s="79" t="e">
        <f>IF(AND('Mapa final'!#REF!="Baja",'Mapa final'!#REF!="Menor"),CONCATENATE("R6C",'Mapa final'!#REF!),"")</f>
        <v>#REF!</v>
      </c>
      <c r="U41" s="80" t="e">
        <f>IF(AND('Mapa final'!#REF!="Baja",'Mapa final'!#REF!="Menor"),CONCATENATE("R6C",'Mapa final'!#REF!),"")</f>
        <v>#REF!</v>
      </c>
      <c r="V41" s="81" t="str">
        <f>IF(AND('Mapa final'!$AB$21="Baja",'Mapa final'!$AD$21="Moderado"),CONCATENATE("R6C",'Mapa final'!$Q$21),"")</f>
        <v/>
      </c>
      <c r="W41" s="79" t="e">
        <f>IF(AND('Mapa final'!#REF!="Baja",'Mapa final'!#REF!="Moderado"),CONCATENATE("R6C",'Mapa final'!#REF!),"")</f>
        <v>#REF!</v>
      </c>
      <c r="X41" s="79" t="e">
        <f>IF(AND('Mapa final'!#REF!="Baja",'Mapa final'!#REF!="Moderado"),CONCATENATE("R6C",'Mapa final'!#REF!),"")</f>
        <v>#REF!</v>
      </c>
      <c r="Y41" s="79" t="e">
        <f>IF(AND('Mapa final'!#REF!="Baja",'Mapa final'!#REF!="Moderado"),CONCATENATE("R6C",'Mapa final'!#REF!),"")</f>
        <v>#REF!</v>
      </c>
      <c r="Z41" s="79" t="e">
        <f>IF(AND('Mapa final'!#REF!="Baja",'Mapa final'!#REF!="Moderado"),CONCATENATE("R6C",'Mapa final'!#REF!),"")</f>
        <v>#REF!</v>
      </c>
      <c r="AA41" s="80" t="e">
        <f>IF(AND('Mapa final'!#REF!="Baja",'Mapa final'!#REF!="Moderado"),CONCATENATE("R6C",'Mapa final'!#REF!),"")</f>
        <v>#REF!</v>
      </c>
      <c r="AB41" s="98" t="str">
        <f>IF(AND('Mapa final'!$AB$21="Baja",'Mapa final'!$AD$21="Mayor"),CONCATENATE("R6C",'Mapa final'!$Q$21),"")</f>
        <v/>
      </c>
      <c r="AC41" s="99" t="e">
        <f>IF(AND('Mapa final'!#REF!="Baja",'Mapa final'!#REF!="Mayor"),CONCATENATE("R6C",'Mapa final'!#REF!),"")</f>
        <v>#REF!</v>
      </c>
      <c r="AD41" s="99" t="e">
        <f>IF(AND('Mapa final'!#REF!="Baja",'Mapa final'!#REF!="Mayor"),CONCATENATE("R6C",'Mapa final'!#REF!),"")</f>
        <v>#REF!</v>
      </c>
      <c r="AE41" s="99" t="e">
        <f>IF(AND('Mapa final'!#REF!="Baja",'Mapa final'!#REF!="Mayor"),CONCATENATE("R6C",'Mapa final'!#REF!),"")</f>
        <v>#REF!</v>
      </c>
      <c r="AF41" s="99" t="e">
        <f>IF(AND('Mapa final'!#REF!="Baja",'Mapa final'!#REF!="Mayor"),CONCATENATE("R6C",'Mapa final'!#REF!),"")</f>
        <v>#REF!</v>
      </c>
      <c r="AG41" s="100" t="e">
        <f>IF(AND('Mapa final'!#REF!="Baja",'Mapa final'!#REF!="Mayor"),CONCATENATE("R6C",'Mapa final'!#REF!),"")</f>
        <v>#REF!</v>
      </c>
      <c r="AH41" s="114" t="str">
        <f>IF(AND('Mapa final'!$AB$21="Baja",'Mapa final'!$AD$21="Catastrófico"),CONCATENATE("R6C",'Mapa final'!$Q$21),"")</f>
        <v/>
      </c>
      <c r="AI41" s="115" t="e">
        <f>IF(AND('Mapa final'!#REF!="Baja",'Mapa final'!#REF!="Catastrófico"),CONCATENATE("R6C",'Mapa final'!#REF!),"")</f>
        <v>#REF!</v>
      </c>
      <c r="AJ41" s="115" t="e">
        <f>IF(AND('Mapa final'!#REF!="Baja",'Mapa final'!#REF!="Catastrófico"),CONCATENATE("R6C",'Mapa final'!#REF!),"")</f>
        <v>#REF!</v>
      </c>
      <c r="AK41" s="115" t="e">
        <f>IF(AND('Mapa final'!#REF!="Baja",'Mapa final'!#REF!="Catastrófico"),CONCATENATE("R6C",'Mapa final'!#REF!),"")</f>
        <v>#REF!</v>
      </c>
      <c r="AL41" s="115" t="e">
        <f>IF(AND('Mapa final'!#REF!="Baja",'Mapa final'!#REF!="Catastrófico"),CONCATENATE("R6C",'Mapa final'!#REF!),"")</f>
        <v>#REF!</v>
      </c>
      <c r="AM41" s="116" t="e">
        <f>IF(AND('Mapa final'!#REF!="Baja",'Mapa final'!#REF!="Catastrófico"),CONCATENATE("R6C",'Mapa final'!#REF!),"")</f>
        <v>#REF!</v>
      </c>
      <c r="AN41" s="37"/>
      <c r="AO41" s="535"/>
      <c r="AP41" s="536"/>
      <c r="AQ41" s="536"/>
      <c r="AR41" s="536"/>
      <c r="AS41" s="536"/>
      <c r="AT41" s="537"/>
    </row>
    <row r="42" spans="1:46" ht="15" customHeight="1" x14ac:dyDescent="0.25">
      <c r="A42" s="37"/>
      <c r="B42" s="463"/>
      <c r="C42" s="463"/>
      <c r="D42" s="464"/>
      <c r="E42" s="504"/>
      <c r="F42" s="505"/>
      <c r="G42" s="505"/>
      <c r="H42" s="505"/>
      <c r="I42" s="505"/>
      <c r="J42" s="89" t="str">
        <f>IF(AND('Mapa final'!$AB$22="Baja",'Mapa final'!$AD$22="Leve"),CONCATENATE("R7C",'Mapa final'!$Q$22),"")</f>
        <v/>
      </c>
      <c r="K42" s="90" t="e">
        <f>IF(AND('Mapa final'!#REF!="Baja",'Mapa final'!#REF!="Leve"),CONCATENATE("R7C",'Mapa final'!#REF!),"")</f>
        <v>#REF!</v>
      </c>
      <c r="L42" s="90" t="e">
        <f>IF(AND('Mapa final'!#REF!="Baja",'Mapa final'!#REF!="Leve"),CONCATENATE("R7C",'Mapa final'!#REF!),"")</f>
        <v>#REF!</v>
      </c>
      <c r="M42" s="90" t="e">
        <f>IF(AND('Mapa final'!#REF!="Baja",'Mapa final'!#REF!="Leve"),CONCATENATE("R7C",'Mapa final'!#REF!),"")</f>
        <v>#REF!</v>
      </c>
      <c r="N42" s="90" t="e">
        <f>IF(AND('Mapa final'!#REF!="Baja",'Mapa final'!#REF!="Leve"),CONCATENATE("R7C",'Mapa final'!#REF!),"")</f>
        <v>#REF!</v>
      </c>
      <c r="O42" s="91" t="e">
        <f>IF(AND('Mapa final'!#REF!="Baja",'Mapa final'!#REF!="Leve"),CONCATENATE("R7C",'Mapa final'!#REF!),"")</f>
        <v>#REF!</v>
      </c>
      <c r="P42" s="33" t="str">
        <f>IF(AND('Mapa final'!$AB$22="Baja",'Mapa final'!$AD$22="Menor"),CONCATENATE("R7C",'Mapa final'!$Q$22),"")</f>
        <v/>
      </c>
      <c r="Q42" s="79" t="e">
        <f>IF(AND('Mapa final'!#REF!="Baja",'Mapa final'!#REF!="Menor"),CONCATENATE("R7C",'Mapa final'!#REF!),"")</f>
        <v>#REF!</v>
      </c>
      <c r="R42" s="79" t="e">
        <f>IF(AND('Mapa final'!#REF!="Baja",'Mapa final'!#REF!="Menor"),CONCATENATE("R7C",'Mapa final'!#REF!),"")</f>
        <v>#REF!</v>
      </c>
      <c r="S42" s="79" t="e">
        <f>IF(AND('Mapa final'!#REF!="Baja",'Mapa final'!#REF!="Menor"),CONCATENATE("R7C",'Mapa final'!#REF!),"")</f>
        <v>#REF!</v>
      </c>
      <c r="T42" s="79" t="e">
        <f>IF(AND('Mapa final'!#REF!="Baja",'Mapa final'!#REF!="Menor"),CONCATENATE("R7C",'Mapa final'!#REF!),"")</f>
        <v>#REF!</v>
      </c>
      <c r="U42" s="80" t="e">
        <f>IF(AND('Mapa final'!#REF!="Baja",'Mapa final'!#REF!="Menor"),CONCATENATE("R7C",'Mapa final'!#REF!),"")</f>
        <v>#REF!</v>
      </c>
      <c r="V42" s="81" t="str">
        <f>IF(AND('Mapa final'!$AB$22="Baja",'Mapa final'!$AD$22="Moderado"),CONCATENATE("R7C",'Mapa final'!$Q$22),"")</f>
        <v/>
      </c>
      <c r="W42" s="79" t="e">
        <f>IF(AND('Mapa final'!#REF!="Baja",'Mapa final'!#REF!="Moderado"),CONCATENATE("R7C",'Mapa final'!#REF!),"")</f>
        <v>#REF!</v>
      </c>
      <c r="X42" s="79" t="e">
        <f>IF(AND('Mapa final'!#REF!="Baja",'Mapa final'!#REF!="Moderado"),CONCATENATE("R7C",'Mapa final'!#REF!),"")</f>
        <v>#REF!</v>
      </c>
      <c r="Y42" s="79" t="e">
        <f>IF(AND('Mapa final'!#REF!="Baja",'Mapa final'!#REF!="Moderado"),CONCATENATE("R7C",'Mapa final'!#REF!),"")</f>
        <v>#REF!</v>
      </c>
      <c r="Z42" s="79" t="e">
        <f>IF(AND('Mapa final'!#REF!="Baja",'Mapa final'!#REF!="Moderado"),CONCATENATE("R7C",'Mapa final'!#REF!),"")</f>
        <v>#REF!</v>
      </c>
      <c r="AA42" s="80" t="e">
        <f>IF(AND('Mapa final'!#REF!="Baja",'Mapa final'!#REF!="Moderado"),CONCATENATE("R7C",'Mapa final'!#REF!),"")</f>
        <v>#REF!</v>
      </c>
      <c r="AB42" s="98" t="str">
        <f>IF(AND('Mapa final'!$AB$22="Baja",'Mapa final'!$AD$22="Mayor"),CONCATENATE("R7C",'Mapa final'!$Q$22),"")</f>
        <v/>
      </c>
      <c r="AC42" s="99" t="e">
        <f>IF(AND('Mapa final'!#REF!="Baja",'Mapa final'!#REF!="Mayor"),CONCATENATE("R7C",'Mapa final'!#REF!),"")</f>
        <v>#REF!</v>
      </c>
      <c r="AD42" s="99" t="e">
        <f>IF(AND('Mapa final'!#REF!="Baja",'Mapa final'!#REF!="Mayor"),CONCATENATE("R7C",'Mapa final'!#REF!),"")</f>
        <v>#REF!</v>
      </c>
      <c r="AE42" s="99" t="e">
        <f>IF(AND('Mapa final'!#REF!="Baja",'Mapa final'!#REF!="Mayor"),CONCATENATE("R7C",'Mapa final'!#REF!),"")</f>
        <v>#REF!</v>
      </c>
      <c r="AF42" s="99" t="e">
        <f>IF(AND('Mapa final'!#REF!="Baja",'Mapa final'!#REF!="Mayor"),CONCATENATE("R7C",'Mapa final'!#REF!),"")</f>
        <v>#REF!</v>
      </c>
      <c r="AG42" s="100" t="e">
        <f>IF(AND('Mapa final'!#REF!="Baja",'Mapa final'!#REF!="Mayor"),CONCATENATE("R7C",'Mapa final'!#REF!),"")</f>
        <v>#REF!</v>
      </c>
      <c r="AH42" s="114" t="str">
        <f>IF(AND('Mapa final'!$AB$22="Baja",'Mapa final'!$AD$22="Catastrófico"),CONCATENATE("R7C",'Mapa final'!$Q$22),"")</f>
        <v/>
      </c>
      <c r="AI42" s="115" t="e">
        <f>IF(AND('Mapa final'!#REF!="Baja",'Mapa final'!#REF!="Catastrófico"),CONCATENATE("R7C",'Mapa final'!#REF!),"")</f>
        <v>#REF!</v>
      </c>
      <c r="AJ42" s="115" t="e">
        <f>IF(AND('Mapa final'!#REF!="Baja",'Mapa final'!#REF!="Catastrófico"),CONCATENATE("R7C",'Mapa final'!#REF!),"")</f>
        <v>#REF!</v>
      </c>
      <c r="AK42" s="115" t="e">
        <f>IF(AND('Mapa final'!#REF!="Baja",'Mapa final'!#REF!="Catastrófico"),CONCATENATE("R7C",'Mapa final'!#REF!),"")</f>
        <v>#REF!</v>
      </c>
      <c r="AL42" s="115" t="e">
        <f>IF(AND('Mapa final'!#REF!="Baja",'Mapa final'!#REF!="Catastrófico"),CONCATENATE("R7C",'Mapa final'!#REF!),"")</f>
        <v>#REF!</v>
      </c>
      <c r="AM42" s="116" t="e">
        <f>IF(AND('Mapa final'!#REF!="Baja",'Mapa final'!#REF!="Catastrófico"),CONCATENATE("R7C",'Mapa final'!#REF!),"")</f>
        <v>#REF!</v>
      </c>
      <c r="AN42" s="37"/>
      <c r="AO42" s="535"/>
      <c r="AP42" s="536"/>
      <c r="AQ42" s="536"/>
      <c r="AR42" s="536"/>
      <c r="AS42" s="536"/>
      <c r="AT42" s="537"/>
    </row>
    <row r="43" spans="1:46" ht="15" customHeight="1" x14ac:dyDescent="0.25">
      <c r="A43" s="37"/>
      <c r="B43" s="463"/>
      <c r="C43" s="463"/>
      <c r="D43" s="464"/>
      <c r="E43" s="504"/>
      <c r="F43" s="505"/>
      <c r="G43" s="505"/>
      <c r="H43" s="505"/>
      <c r="I43" s="505"/>
      <c r="J43" s="89" t="str">
        <f>IF(AND('Mapa final'!$AB$23="Baja",'Mapa final'!$AD$23="Leve"),CONCATENATE("R8C",'Mapa final'!$Q$23),"")</f>
        <v>R8C1</v>
      </c>
      <c r="K43" s="90" t="e">
        <f>IF(AND('Mapa final'!#REF!="Baja",'Mapa final'!#REF!="Leve"),CONCATENATE("R8C",'Mapa final'!#REF!),"")</f>
        <v>#REF!</v>
      </c>
      <c r="L43" s="90" t="e">
        <f>IF(AND('Mapa final'!#REF!="Baja",'Mapa final'!#REF!="Leve"),CONCATENATE("R8C",'Mapa final'!#REF!),"")</f>
        <v>#REF!</v>
      </c>
      <c r="M43" s="90" t="e">
        <f>IF(AND('Mapa final'!#REF!="Baja",'Mapa final'!#REF!="Leve"),CONCATENATE("R8C",'Mapa final'!#REF!),"")</f>
        <v>#REF!</v>
      </c>
      <c r="N43" s="90" t="e">
        <f>IF(AND('Mapa final'!#REF!="Baja",'Mapa final'!#REF!="Leve"),CONCATENATE("R8C",'Mapa final'!#REF!),"")</f>
        <v>#REF!</v>
      </c>
      <c r="O43" s="91" t="e">
        <f>IF(AND('Mapa final'!#REF!="Baja",'Mapa final'!#REF!="Leve"),CONCATENATE("R8C",'Mapa final'!#REF!),"")</f>
        <v>#REF!</v>
      </c>
      <c r="P43" s="33" t="str">
        <f>IF(AND('Mapa final'!$AB$23="Baja",'Mapa final'!$AD$23="Menor"),CONCATENATE("R8C",'Mapa final'!$Q$23),"")</f>
        <v/>
      </c>
      <c r="Q43" s="79" t="e">
        <f>IF(AND('Mapa final'!#REF!="Baja",'Mapa final'!#REF!="Menor"),CONCATENATE("R8C",'Mapa final'!#REF!),"")</f>
        <v>#REF!</v>
      </c>
      <c r="R43" s="79" t="e">
        <f>IF(AND('Mapa final'!#REF!="Baja",'Mapa final'!#REF!="Menor"),CONCATENATE("R8C",'Mapa final'!#REF!),"")</f>
        <v>#REF!</v>
      </c>
      <c r="S43" s="79" t="e">
        <f>IF(AND('Mapa final'!#REF!="Baja",'Mapa final'!#REF!="Menor"),CONCATENATE("R8C",'Mapa final'!#REF!),"")</f>
        <v>#REF!</v>
      </c>
      <c r="T43" s="79" t="e">
        <f>IF(AND('Mapa final'!#REF!="Baja",'Mapa final'!#REF!="Menor"),CONCATENATE("R8C",'Mapa final'!#REF!),"")</f>
        <v>#REF!</v>
      </c>
      <c r="U43" s="80" t="e">
        <f>IF(AND('Mapa final'!#REF!="Baja",'Mapa final'!#REF!="Menor"),CONCATENATE("R8C",'Mapa final'!#REF!),"")</f>
        <v>#REF!</v>
      </c>
      <c r="V43" s="81" t="str">
        <f>IF(AND('Mapa final'!$AB$23="Baja",'Mapa final'!$AD$23="Moderado"),CONCATENATE("R8C",'Mapa final'!$Q$23),"")</f>
        <v/>
      </c>
      <c r="W43" s="79" t="e">
        <f>IF(AND('Mapa final'!#REF!="Baja",'Mapa final'!#REF!="Moderado"),CONCATENATE("R8C",'Mapa final'!#REF!),"")</f>
        <v>#REF!</v>
      </c>
      <c r="X43" s="79" t="e">
        <f>IF(AND('Mapa final'!#REF!="Baja",'Mapa final'!#REF!="Moderado"),CONCATENATE("R8C",'Mapa final'!#REF!),"")</f>
        <v>#REF!</v>
      </c>
      <c r="Y43" s="79" t="e">
        <f>IF(AND('Mapa final'!#REF!="Baja",'Mapa final'!#REF!="Moderado"),CONCATENATE("R8C",'Mapa final'!#REF!),"")</f>
        <v>#REF!</v>
      </c>
      <c r="Z43" s="79" t="e">
        <f>IF(AND('Mapa final'!#REF!="Baja",'Mapa final'!#REF!="Moderado"),CONCATENATE("R8C",'Mapa final'!#REF!),"")</f>
        <v>#REF!</v>
      </c>
      <c r="AA43" s="80" t="e">
        <f>IF(AND('Mapa final'!#REF!="Baja",'Mapa final'!#REF!="Moderado"),CONCATENATE("R8C",'Mapa final'!#REF!),"")</f>
        <v>#REF!</v>
      </c>
      <c r="AB43" s="98" t="str">
        <f>IF(AND('Mapa final'!$AB$23="Baja",'Mapa final'!$AD$23="Mayor"),CONCATENATE("R8C",'Mapa final'!$Q$23),"")</f>
        <v/>
      </c>
      <c r="AC43" s="99" t="e">
        <f>IF(AND('Mapa final'!#REF!="Baja",'Mapa final'!#REF!="Mayor"),CONCATENATE("R8C",'Mapa final'!#REF!),"")</f>
        <v>#REF!</v>
      </c>
      <c r="AD43" s="99" t="e">
        <f>IF(AND('Mapa final'!#REF!="Baja",'Mapa final'!#REF!="Mayor"),CONCATENATE("R8C",'Mapa final'!#REF!),"")</f>
        <v>#REF!</v>
      </c>
      <c r="AE43" s="99" t="e">
        <f>IF(AND('Mapa final'!#REF!="Baja",'Mapa final'!#REF!="Mayor"),CONCATENATE("R8C",'Mapa final'!#REF!),"")</f>
        <v>#REF!</v>
      </c>
      <c r="AF43" s="99" t="e">
        <f>IF(AND('Mapa final'!#REF!="Baja",'Mapa final'!#REF!="Mayor"),CONCATENATE("R8C",'Mapa final'!#REF!),"")</f>
        <v>#REF!</v>
      </c>
      <c r="AG43" s="100" t="e">
        <f>IF(AND('Mapa final'!#REF!="Baja",'Mapa final'!#REF!="Mayor"),CONCATENATE("R8C",'Mapa final'!#REF!),"")</f>
        <v>#REF!</v>
      </c>
      <c r="AH43" s="114" t="str">
        <f>IF(AND('Mapa final'!$AB$23="Baja",'Mapa final'!$AD$23="Catastrófico"),CONCATENATE("R8C",'Mapa final'!$Q$23),"")</f>
        <v/>
      </c>
      <c r="AI43" s="115" t="e">
        <f>IF(AND('Mapa final'!#REF!="Baja",'Mapa final'!#REF!="Catastrófico"),CONCATENATE("R8C",'Mapa final'!#REF!),"")</f>
        <v>#REF!</v>
      </c>
      <c r="AJ43" s="115" t="e">
        <f>IF(AND('Mapa final'!#REF!="Baja",'Mapa final'!#REF!="Catastrófico"),CONCATENATE("R8C",'Mapa final'!#REF!),"")</f>
        <v>#REF!</v>
      </c>
      <c r="AK43" s="115" t="e">
        <f>IF(AND('Mapa final'!#REF!="Baja",'Mapa final'!#REF!="Catastrófico"),CONCATENATE("R8C",'Mapa final'!#REF!),"")</f>
        <v>#REF!</v>
      </c>
      <c r="AL43" s="115" t="e">
        <f>IF(AND('Mapa final'!#REF!="Baja",'Mapa final'!#REF!="Catastrófico"),CONCATENATE("R8C",'Mapa final'!#REF!),"")</f>
        <v>#REF!</v>
      </c>
      <c r="AM43" s="116" t="e">
        <f>IF(AND('Mapa final'!#REF!="Baja",'Mapa final'!#REF!="Catastrófico"),CONCATENATE("R8C",'Mapa final'!#REF!),"")</f>
        <v>#REF!</v>
      </c>
      <c r="AN43" s="37"/>
      <c r="AO43" s="535"/>
      <c r="AP43" s="536"/>
      <c r="AQ43" s="536"/>
      <c r="AR43" s="536"/>
      <c r="AS43" s="536"/>
      <c r="AT43" s="537"/>
    </row>
    <row r="44" spans="1:46" ht="15" customHeight="1" x14ac:dyDescent="0.25">
      <c r="A44" s="37"/>
      <c r="B44" s="463"/>
      <c r="C44" s="463"/>
      <c r="D44" s="464"/>
      <c r="E44" s="504"/>
      <c r="F44" s="505"/>
      <c r="G44" s="505"/>
      <c r="H44" s="505"/>
      <c r="I44" s="505"/>
      <c r="J44" s="89" t="str">
        <f>IF(AND('Mapa final'!$AB$24="Baja",'Mapa final'!$AD$24="Leve"),CONCATENATE("R9C",'Mapa final'!$Q$24),"")</f>
        <v/>
      </c>
      <c r="K44" s="90" t="str">
        <f>IF(AND('Mapa final'!$AB$25="Baja",'Mapa final'!$AD$25="Leve"),CONCATENATE("R9C",'Mapa final'!$Q$25),"")</f>
        <v/>
      </c>
      <c r="L44" s="90" t="str">
        <f>IF(AND('Mapa final'!$AB$26="Baja",'Mapa final'!$AD$26="Leve"),CONCATENATE("R9C",'Mapa final'!$Q$26),"")</f>
        <v/>
      </c>
      <c r="M44" s="90" t="e">
        <f>IF(AND('Mapa final'!#REF!="Baja",'Mapa final'!#REF!="Leve"),CONCATENATE("R9C",'Mapa final'!#REF!),"")</f>
        <v>#REF!</v>
      </c>
      <c r="N44" s="90" t="e">
        <f>IF(AND('Mapa final'!#REF!="Baja",'Mapa final'!#REF!="Leve"),CONCATENATE("R9C",'Mapa final'!#REF!),"")</f>
        <v>#REF!</v>
      </c>
      <c r="O44" s="91" t="e">
        <f>IF(AND('Mapa final'!#REF!="Baja",'Mapa final'!#REF!="Leve"),CONCATENATE("R9C",'Mapa final'!#REF!),"")</f>
        <v>#REF!</v>
      </c>
      <c r="P44" s="33" t="str">
        <f>IF(AND('Mapa final'!$AB$24="Baja",'Mapa final'!$AD$24="Menor"),CONCATENATE("R9C",'Mapa final'!$Q$24),"")</f>
        <v/>
      </c>
      <c r="Q44" s="79" t="str">
        <f>IF(AND('Mapa final'!$AB$25="Baja",'Mapa final'!$AD$25="Menor"),CONCATENATE("R9C",'Mapa final'!$Q$25),"")</f>
        <v/>
      </c>
      <c r="R44" s="79" t="str">
        <f>IF(AND('Mapa final'!$AB$26="Baja",'Mapa final'!$AD$26="Menor"),CONCATENATE("R9C",'Mapa final'!$Q$26),"")</f>
        <v/>
      </c>
      <c r="S44" s="79" t="e">
        <f>IF(AND('Mapa final'!#REF!="Baja",'Mapa final'!#REF!="Menor"),CONCATENATE("R9C",'Mapa final'!#REF!),"")</f>
        <v>#REF!</v>
      </c>
      <c r="T44" s="79" t="e">
        <f>IF(AND('Mapa final'!#REF!="Baja",'Mapa final'!#REF!="Menor"),CONCATENATE("R9C",'Mapa final'!#REF!),"")</f>
        <v>#REF!</v>
      </c>
      <c r="U44" s="80" t="e">
        <f>IF(AND('Mapa final'!#REF!="Baja",'Mapa final'!#REF!="Menor"),CONCATENATE("R9C",'Mapa final'!#REF!),"")</f>
        <v>#REF!</v>
      </c>
      <c r="V44" s="81" t="str">
        <f>IF(AND('Mapa final'!$AB$24="Baja",'Mapa final'!$AD$24="Moderado"),CONCATENATE("R9C",'Mapa final'!$Q$24),"")</f>
        <v>R9C1</v>
      </c>
      <c r="W44" s="79" t="str">
        <f>IF(AND('Mapa final'!$AB$25="Baja",'Mapa final'!$AD$25="Moderado"),CONCATENATE("R9C",'Mapa final'!$Q$25),"")</f>
        <v/>
      </c>
      <c r="X44" s="79" t="str">
        <f>IF(AND('Mapa final'!$AB$26="Baja",'Mapa final'!$AD$26="Moderado"),CONCATENATE("R9C",'Mapa final'!$Q$26),"")</f>
        <v/>
      </c>
      <c r="Y44" s="79" t="e">
        <f>IF(AND('Mapa final'!#REF!="Baja",'Mapa final'!#REF!="Moderado"),CONCATENATE("R9C",'Mapa final'!#REF!),"")</f>
        <v>#REF!</v>
      </c>
      <c r="Z44" s="79" t="e">
        <f>IF(AND('Mapa final'!#REF!="Baja",'Mapa final'!#REF!="Moderado"),CONCATENATE("R9C",'Mapa final'!#REF!),"")</f>
        <v>#REF!</v>
      </c>
      <c r="AA44" s="80" t="e">
        <f>IF(AND('Mapa final'!#REF!="Baja",'Mapa final'!#REF!="Moderado"),CONCATENATE("R9C",'Mapa final'!#REF!),"")</f>
        <v>#REF!</v>
      </c>
      <c r="AB44" s="98" t="str">
        <f>IF(AND('Mapa final'!$AB$24="Baja",'Mapa final'!$AD$24="Mayor"),CONCATENATE("R9C",'Mapa final'!$Q$24),"")</f>
        <v/>
      </c>
      <c r="AC44" s="99" t="str">
        <f>IF(AND('Mapa final'!$AB$25="Baja",'Mapa final'!$AD$25="Mayor"),CONCATENATE("R9C",'Mapa final'!$Q$25),"")</f>
        <v/>
      </c>
      <c r="AD44" s="99" t="str">
        <f>IF(AND('Mapa final'!$AB$26="Baja",'Mapa final'!$AD$26="Mayor"),CONCATENATE("R9C",'Mapa final'!$Q$26),"")</f>
        <v/>
      </c>
      <c r="AE44" s="99" t="e">
        <f>IF(AND('Mapa final'!#REF!="Baja",'Mapa final'!#REF!="Mayor"),CONCATENATE("R9C",'Mapa final'!#REF!),"")</f>
        <v>#REF!</v>
      </c>
      <c r="AF44" s="99" t="e">
        <f>IF(AND('Mapa final'!#REF!="Baja",'Mapa final'!#REF!="Mayor"),CONCATENATE("R9C",'Mapa final'!#REF!),"")</f>
        <v>#REF!</v>
      </c>
      <c r="AG44" s="100" t="e">
        <f>IF(AND('Mapa final'!#REF!="Baja",'Mapa final'!#REF!="Mayor"),CONCATENATE("R9C",'Mapa final'!#REF!),"")</f>
        <v>#REF!</v>
      </c>
      <c r="AH44" s="114" t="str">
        <f>IF(AND('Mapa final'!$AB$24="Baja",'Mapa final'!$AD$24="Catastrófico"),CONCATENATE("R9C",'Mapa final'!$Q$24),"")</f>
        <v/>
      </c>
      <c r="AI44" s="115" t="str">
        <f>IF(AND('Mapa final'!$AB$25="Baja",'Mapa final'!$AD$25="Catastrófico"),CONCATENATE("R9C",'Mapa final'!$Q$25),"")</f>
        <v/>
      </c>
      <c r="AJ44" s="115" t="str">
        <f>IF(AND('Mapa final'!$AB$26="Baja",'Mapa final'!$AD$26="Catastrófico"),CONCATENATE("R9C",'Mapa final'!$Q$26),"")</f>
        <v/>
      </c>
      <c r="AK44" s="115" t="e">
        <f>IF(AND('Mapa final'!#REF!="Baja",'Mapa final'!#REF!="Catastrófico"),CONCATENATE("R9C",'Mapa final'!#REF!),"")</f>
        <v>#REF!</v>
      </c>
      <c r="AL44" s="115" t="e">
        <f>IF(AND('Mapa final'!#REF!="Baja",'Mapa final'!#REF!="Catastrófico"),CONCATENATE("R9C",'Mapa final'!#REF!),"")</f>
        <v>#REF!</v>
      </c>
      <c r="AM44" s="116" t="e">
        <f>IF(AND('Mapa final'!#REF!="Baja",'Mapa final'!#REF!="Catastrófico"),CONCATENATE("R9C",'Mapa final'!#REF!),"")</f>
        <v>#REF!</v>
      </c>
      <c r="AN44" s="37"/>
      <c r="AO44" s="535"/>
      <c r="AP44" s="536"/>
      <c r="AQ44" s="536"/>
      <c r="AR44" s="536"/>
      <c r="AS44" s="536"/>
      <c r="AT44" s="537"/>
    </row>
    <row r="45" spans="1:46" ht="15.75" customHeight="1" thickBot="1" x14ac:dyDescent="0.3">
      <c r="A45" s="37"/>
      <c r="B45" s="463"/>
      <c r="C45" s="463"/>
      <c r="D45" s="464"/>
      <c r="E45" s="507"/>
      <c r="F45" s="508"/>
      <c r="G45" s="508"/>
      <c r="H45" s="508"/>
      <c r="I45" s="508"/>
      <c r="J45" s="92" t="str">
        <f>IF(AND('Mapa final'!$AB$27="Baja",'Mapa final'!$AD$27="Leve"),CONCATENATE("R10C",'Mapa final'!$Q$27),"")</f>
        <v/>
      </c>
      <c r="K45" s="93" t="str">
        <f>IF(AND('Mapa final'!$AB$28="Baja",'Mapa final'!$AD$28="Leve"),CONCATENATE("R10C",'Mapa final'!$Q$28),"")</f>
        <v/>
      </c>
      <c r="L45" s="93" t="str">
        <f>IF(AND('Mapa final'!$AB$29="Baja",'Mapa final'!$AD$29="Leve"),CONCATENATE("R10C",'Mapa final'!$Q$29),"")</f>
        <v/>
      </c>
      <c r="M45" s="93" t="e">
        <f>IF(AND('Mapa final'!#REF!="Baja",'Mapa final'!#REF!="Leve"),CONCATENATE("R10C",'Mapa final'!#REF!),"")</f>
        <v>#REF!</v>
      </c>
      <c r="N45" s="93" t="e">
        <f>IF(AND('Mapa final'!#REF!="Baja",'Mapa final'!#REF!="Leve"),CONCATENATE("R10C",'Mapa final'!#REF!),"")</f>
        <v>#REF!</v>
      </c>
      <c r="O45" s="94" t="e">
        <f>IF(AND('Mapa final'!#REF!="Baja",'Mapa final'!#REF!="Leve"),CONCATENATE("R10C",'Mapa final'!#REF!),"")</f>
        <v>#REF!</v>
      </c>
      <c r="P45" s="33" t="str">
        <f>IF(AND('Mapa final'!$AB$27="Baja",'Mapa final'!$AD$27="Menor"),CONCATENATE("R10C",'Mapa final'!$Q$27),"")</f>
        <v/>
      </c>
      <c r="Q45" s="79" t="str">
        <f>IF(AND('Mapa final'!$AB$28="Baja",'Mapa final'!$AD$28="Menor"),CONCATENATE("R10C",'Mapa final'!$Q$28),"")</f>
        <v/>
      </c>
      <c r="R45" s="79" t="str">
        <f>IF(AND('Mapa final'!$AB$29="Baja",'Mapa final'!$AD$29="Menor"),CONCATENATE("R10C",'Mapa final'!$Q$29),"")</f>
        <v/>
      </c>
      <c r="S45" s="79" t="e">
        <f>IF(AND('Mapa final'!#REF!="Baja",'Mapa final'!#REF!="Menor"),CONCATENATE("R10C",'Mapa final'!#REF!),"")</f>
        <v>#REF!</v>
      </c>
      <c r="T45" s="79" t="e">
        <f>IF(AND('Mapa final'!#REF!="Baja",'Mapa final'!#REF!="Menor"),CONCATENATE("R10C",'Mapa final'!#REF!),"")</f>
        <v>#REF!</v>
      </c>
      <c r="U45" s="80" t="e">
        <f>IF(AND('Mapa final'!#REF!="Baja",'Mapa final'!#REF!="Menor"),CONCATENATE("R10C",'Mapa final'!#REF!),"")</f>
        <v>#REF!</v>
      </c>
      <c r="V45" s="83" t="str">
        <f>IF(AND('Mapa final'!$AB$27="Baja",'Mapa final'!$AD$27="Moderado"),CONCATENATE("R10C",'Mapa final'!$Q$27),"")</f>
        <v/>
      </c>
      <c r="W45" s="84" t="str">
        <f>IF(AND('Mapa final'!$AB$28="Baja",'Mapa final'!$AD$28="Moderado"),CONCATENATE("R10C",'Mapa final'!$Q$28),"")</f>
        <v/>
      </c>
      <c r="X45" s="84" t="str">
        <f>IF(AND('Mapa final'!$AB$29="Baja",'Mapa final'!$AD$29="Moderado"),CONCATENATE("R10C",'Mapa final'!$Q$29),"")</f>
        <v/>
      </c>
      <c r="Y45" s="84" t="e">
        <f>IF(AND('Mapa final'!#REF!="Baja",'Mapa final'!#REF!="Moderado"),CONCATENATE("R10C",'Mapa final'!#REF!),"")</f>
        <v>#REF!</v>
      </c>
      <c r="Z45" s="84" t="e">
        <f>IF(AND('Mapa final'!#REF!="Baja",'Mapa final'!#REF!="Moderado"),CONCATENATE("R10C",'Mapa final'!#REF!),"")</f>
        <v>#REF!</v>
      </c>
      <c r="AA45" s="85" t="e">
        <f>IF(AND('Mapa final'!#REF!="Baja",'Mapa final'!#REF!="Moderado"),CONCATENATE("R10C",'Mapa final'!#REF!),"")</f>
        <v>#REF!</v>
      </c>
      <c r="AB45" s="101" t="str">
        <f>IF(AND('Mapa final'!$AB$27="Baja",'Mapa final'!$AD$27="Mayor"),CONCATENATE("R10C",'Mapa final'!$Q$27),"")</f>
        <v/>
      </c>
      <c r="AC45" s="102" t="str">
        <f>IF(AND('Mapa final'!$AB$28="Baja",'Mapa final'!$AD$28="Mayor"),CONCATENATE("R10C",'Mapa final'!$Q$28),"")</f>
        <v/>
      </c>
      <c r="AD45" s="102" t="str">
        <f>IF(AND('Mapa final'!$AB$29="Baja",'Mapa final'!$AD$29="Mayor"),CONCATENATE("R10C",'Mapa final'!$Q$29),"")</f>
        <v/>
      </c>
      <c r="AE45" s="102" t="e">
        <f>IF(AND('Mapa final'!#REF!="Baja",'Mapa final'!#REF!="Mayor"),CONCATENATE("R10C",'Mapa final'!#REF!),"")</f>
        <v>#REF!</v>
      </c>
      <c r="AF45" s="102" t="e">
        <f>IF(AND('Mapa final'!#REF!="Baja",'Mapa final'!#REF!="Mayor"),CONCATENATE("R10C",'Mapa final'!#REF!),"")</f>
        <v>#REF!</v>
      </c>
      <c r="AG45" s="103" t="e">
        <f>IF(AND('Mapa final'!#REF!="Baja",'Mapa final'!#REF!="Mayor"),CONCATENATE("R10C",'Mapa final'!#REF!),"")</f>
        <v>#REF!</v>
      </c>
      <c r="AH45" s="117" t="str">
        <f>IF(AND('Mapa final'!$AB$27="Baja",'Mapa final'!$AD$27="Catastrófico"),CONCATENATE("R10C",'Mapa final'!$Q$27),"")</f>
        <v/>
      </c>
      <c r="AI45" s="118" t="str">
        <f>IF(AND('Mapa final'!$AB$28="Baja",'Mapa final'!$AD$28="Catastrófico"),CONCATENATE("R10C",'Mapa final'!$Q$28),"")</f>
        <v/>
      </c>
      <c r="AJ45" s="118" t="str">
        <f>IF(AND('Mapa final'!$AB$29="Baja",'Mapa final'!$AD$29="Catastrófico"),CONCATENATE("R10C",'Mapa final'!$Q$29),"")</f>
        <v/>
      </c>
      <c r="AK45" s="118" t="e">
        <f>IF(AND('Mapa final'!#REF!="Baja",'Mapa final'!#REF!="Catastrófico"),CONCATENATE("R10C",'Mapa final'!#REF!),"")</f>
        <v>#REF!</v>
      </c>
      <c r="AL45" s="118" t="e">
        <f>IF(AND('Mapa final'!#REF!="Baja",'Mapa final'!#REF!="Catastrófico"),CONCATENATE("R10C",'Mapa final'!#REF!),"")</f>
        <v>#REF!</v>
      </c>
      <c r="AM45" s="119" t="e">
        <f>IF(AND('Mapa final'!#REF!="Baja",'Mapa final'!#REF!="Catastrófico"),CONCATENATE("R10C",'Mapa final'!#REF!),"")</f>
        <v>#REF!</v>
      </c>
      <c r="AN45" s="37"/>
      <c r="AO45" s="538"/>
      <c r="AP45" s="539"/>
      <c r="AQ45" s="539"/>
      <c r="AR45" s="539"/>
      <c r="AS45" s="539"/>
      <c r="AT45" s="540"/>
    </row>
    <row r="46" spans="1:46" ht="46.5" customHeight="1" x14ac:dyDescent="0.35">
      <c r="A46" s="37"/>
      <c r="B46" s="463"/>
      <c r="C46" s="463"/>
      <c r="D46" s="464"/>
      <c r="E46" s="501" t="s">
        <v>113</v>
      </c>
      <c r="F46" s="502"/>
      <c r="G46" s="502"/>
      <c r="H46" s="502"/>
      <c r="I46" s="503"/>
      <c r="J46" s="86" t="str">
        <f>IF(AND('Mapa final'!$AB$13="Muy Baja",'Mapa final'!$AD$13="Leve"),CONCATENATE("R1C",'Mapa final'!$Q$13),"")</f>
        <v/>
      </c>
      <c r="K46" s="87" t="str">
        <f>IF(AND('Mapa final'!$AB$14="Muy Baja",'Mapa final'!$AD$14="Leve"),CONCATENATE("R1C",'Mapa final'!$Q$14),"")</f>
        <v>R1C2</v>
      </c>
      <c r="L46" s="87" t="str">
        <f>IF(AND('Mapa final'!$AB$15="Muy Baja",'Mapa final'!$AD$15="Leve"),CONCATENATE("R1C",'Mapa final'!$Q$15),"")</f>
        <v>R1C3</v>
      </c>
      <c r="M46" s="87" t="e">
        <f>IF(AND('Mapa final'!#REF!="Muy Baja",'Mapa final'!#REF!="Leve"),CONCATENATE("R1C",'Mapa final'!#REF!),"")</f>
        <v>#REF!</v>
      </c>
      <c r="N46" s="87" t="e">
        <f>IF(AND('Mapa final'!#REF!="Muy Baja",'Mapa final'!#REF!="Leve"),CONCATENATE("R1C",'Mapa final'!#REF!),"")</f>
        <v>#REF!</v>
      </c>
      <c r="O46" s="88" t="e">
        <f>IF(AND('Mapa final'!#REF!="Muy Baja",'Mapa final'!#REF!="Leve"),CONCATENATE("R1C",'Mapa final'!#REF!),"")</f>
        <v>#REF!</v>
      </c>
      <c r="P46" s="86" t="str">
        <f>IF(AND('Mapa final'!$AB$13="Muy Baja",'Mapa final'!$AD$13="Menor"),CONCATENATE("R1C",'Mapa final'!$Q$13),"")</f>
        <v/>
      </c>
      <c r="Q46" s="87" t="str">
        <f>IF(AND('Mapa final'!$AB$14="Muy Baja",'Mapa final'!$AD$14="Menor"),CONCATENATE("R1C",'Mapa final'!$Q$14),"")</f>
        <v/>
      </c>
      <c r="R46" s="87" t="str">
        <f>IF(AND('Mapa final'!$AB$15="Muy Baja",'Mapa final'!$AD$15="Menor"),CONCATENATE("R1C",'Mapa final'!$Q$15),"")</f>
        <v/>
      </c>
      <c r="S46" s="87" t="e">
        <f>IF(AND('Mapa final'!#REF!="Muy Baja",'Mapa final'!#REF!="Menor"),CONCATENATE("R1C",'Mapa final'!#REF!),"")</f>
        <v>#REF!</v>
      </c>
      <c r="T46" s="87" t="e">
        <f>IF(AND('Mapa final'!#REF!="Muy Baja",'Mapa final'!#REF!="Menor"),CONCATENATE("R1C",'Mapa final'!#REF!),"")</f>
        <v>#REF!</v>
      </c>
      <c r="U46" s="88" t="e">
        <f>IF(AND('Mapa final'!#REF!="Muy Baja",'Mapa final'!#REF!="Menor"),CONCATENATE("R1C",'Mapa final'!#REF!),"")</f>
        <v>#REF!</v>
      </c>
      <c r="V46" s="32" t="str">
        <f>IF(AND('Mapa final'!$AB$13="Muy Baja",'Mapa final'!$AD$13="Moderado"),CONCATENATE("R1C",'Mapa final'!$Q$13),"")</f>
        <v/>
      </c>
      <c r="W46" s="104" t="str">
        <f>IF(AND('Mapa final'!$AB$14="Muy Baja",'Mapa final'!$AD$14="Moderado"),CONCATENATE("R1C",'Mapa final'!$Q$14),"")</f>
        <v/>
      </c>
      <c r="X46" s="105" t="str">
        <f>IF(AND('Mapa final'!$AB$15="Muy Baja",'Mapa final'!$AD$15="Moderado"),CONCATENATE("R1C",'Mapa final'!$Q$15),"")</f>
        <v/>
      </c>
      <c r="Y46" s="105" t="e">
        <f>IF(AND('Mapa final'!#REF!="Muy Baja",'Mapa final'!#REF!="Moderado"),CONCATENATE("R1C",'Mapa final'!#REF!),"")</f>
        <v>#REF!</v>
      </c>
      <c r="Z46" s="105" t="e">
        <f>IF(AND('Mapa final'!#REF!="Muy Baja",'Mapa final'!#REF!="Moderado"),CONCATENATE("R1C",'Mapa final'!#REF!),"")</f>
        <v>#REF!</v>
      </c>
      <c r="AA46" s="106" t="e">
        <f>IF(AND('Mapa final'!#REF!="Muy Baja",'Mapa final'!#REF!="Moderado"),CONCATENATE("R1C",'Mapa final'!#REF!),"")</f>
        <v>#REF!</v>
      </c>
      <c r="AB46" s="95" t="str">
        <f>IF(AND('Mapa final'!$AB$13="Muy Baja",'Mapa final'!$AD$13="Mayor"),CONCATENATE("R1C",'Mapa final'!$Q$13),"")</f>
        <v/>
      </c>
      <c r="AC46" s="96" t="str">
        <f>IF(AND('Mapa final'!$AB$14="Muy Baja",'Mapa final'!$AD$14="Mayor"),CONCATENATE("R1C",'Mapa final'!$Q$14),"")</f>
        <v/>
      </c>
      <c r="AD46" s="96" t="str">
        <f>IF(AND('Mapa final'!$AB$15="Muy Baja",'Mapa final'!$AD$15="Mayor"),CONCATENATE("R1C",'Mapa final'!$Q$15),"")</f>
        <v/>
      </c>
      <c r="AE46" s="96" t="e">
        <f>IF(AND('Mapa final'!#REF!="Muy Baja",'Mapa final'!#REF!="Mayor"),CONCATENATE("R1C",'Mapa final'!#REF!),"")</f>
        <v>#REF!</v>
      </c>
      <c r="AF46" s="96" t="e">
        <f>IF(AND('Mapa final'!#REF!="Muy Baja",'Mapa final'!#REF!="Mayor"),CONCATENATE("R1C",'Mapa final'!#REF!),"")</f>
        <v>#REF!</v>
      </c>
      <c r="AG46" s="97" t="e">
        <f>IF(AND('Mapa final'!#REF!="Muy Baja",'Mapa final'!#REF!="Mayor"),CONCATENATE("R1C",'Mapa final'!#REF!),"")</f>
        <v>#REF!</v>
      </c>
      <c r="AH46" s="111" t="str">
        <f>IF(AND('Mapa final'!$AB$13="Muy Baja",'Mapa final'!$AD$13="Catastrófico"),CONCATENATE("R1C",'Mapa final'!$Q$13),"")</f>
        <v/>
      </c>
      <c r="AI46" s="112" t="str">
        <f>IF(AND('Mapa final'!$AB$14="Muy Baja",'Mapa final'!$AD$14="Catastrófico"),CONCATENATE("R1C",'Mapa final'!$Q$14),"")</f>
        <v/>
      </c>
      <c r="AJ46" s="112" t="str">
        <f>IF(AND('Mapa final'!$AB$15="Muy Baja",'Mapa final'!$AD$15="Catastrófico"),CONCATENATE("R1C",'Mapa final'!$Q$15),"")</f>
        <v/>
      </c>
      <c r="AK46" s="112" t="e">
        <f>IF(AND('Mapa final'!#REF!="Muy Baja",'Mapa final'!#REF!="Catastrófico"),CONCATENATE("R1C",'Mapa final'!#REF!),"")</f>
        <v>#REF!</v>
      </c>
      <c r="AL46" s="112" t="e">
        <f>IF(AND('Mapa final'!#REF!="Muy Baja",'Mapa final'!#REF!="Catastrófico"),CONCATENATE("R1C",'Mapa final'!#REF!),"")</f>
        <v>#REF!</v>
      </c>
      <c r="AM46" s="113" t="e">
        <f>IF(AND('Mapa final'!#REF!="Muy Baja",'Mapa final'!#REF!="Catastrófico"),CONCATENATE("R1C",'Mapa final'!#REF!),"")</f>
        <v>#REF!</v>
      </c>
      <c r="AN46" s="37"/>
      <c r="AO46" s="37"/>
      <c r="AP46" s="37"/>
      <c r="AQ46" s="37"/>
      <c r="AR46" s="37"/>
      <c r="AS46" s="37"/>
      <c r="AT46" s="37"/>
    </row>
    <row r="47" spans="1:46" ht="46.5" customHeight="1" x14ac:dyDescent="0.25">
      <c r="A47" s="37"/>
      <c r="B47" s="463"/>
      <c r="C47" s="463"/>
      <c r="D47" s="464"/>
      <c r="E47" s="520"/>
      <c r="F47" s="505"/>
      <c r="G47" s="505"/>
      <c r="H47" s="505"/>
      <c r="I47" s="506"/>
      <c r="J47" s="89" t="str">
        <f>IF(AND('Mapa final'!$AB$16="Muy Baja",'Mapa final'!$AD$16="Leve"),CONCATENATE("R2C",'Mapa final'!$Q$16),"")</f>
        <v/>
      </c>
      <c r="K47" s="90" t="e">
        <f>IF(AND('Mapa final'!#REF!="Muy Baja",'Mapa final'!#REF!="Leve"),CONCATENATE("R2C",'Mapa final'!#REF!),"")</f>
        <v>#REF!</v>
      </c>
      <c r="L47" s="90" t="e">
        <f>IF(AND('Mapa final'!#REF!="Muy Baja",'Mapa final'!#REF!="Leve"),CONCATENATE("R2C",'Mapa final'!#REF!),"")</f>
        <v>#REF!</v>
      </c>
      <c r="M47" s="90" t="e">
        <f>IF(AND('Mapa final'!#REF!="Muy Baja",'Mapa final'!#REF!="Leve"),CONCATENATE("R2C",'Mapa final'!#REF!),"")</f>
        <v>#REF!</v>
      </c>
      <c r="N47" s="90" t="e">
        <f>IF(AND('Mapa final'!#REF!="Muy Baja",'Mapa final'!#REF!="Leve"),CONCATENATE("R2C",'Mapa final'!#REF!),"")</f>
        <v>#REF!</v>
      </c>
      <c r="O47" s="91" t="e">
        <f>IF(AND('Mapa final'!#REF!="Muy Baja",'Mapa final'!#REF!="Leve"),CONCATENATE("R2C",'Mapa final'!#REF!),"")</f>
        <v>#REF!</v>
      </c>
      <c r="P47" s="89" t="str">
        <f>IF(AND('Mapa final'!$AB$16="Muy Baja",'Mapa final'!$AD$16="Menor"),CONCATENATE("R2C",'Mapa final'!$Q$16),"")</f>
        <v/>
      </c>
      <c r="Q47" s="90" t="e">
        <f>IF(AND('Mapa final'!#REF!="Muy Baja",'Mapa final'!#REF!="Menor"),CONCATENATE("R2C",'Mapa final'!#REF!),"")</f>
        <v>#REF!</v>
      </c>
      <c r="R47" s="90" t="e">
        <f>IF(AND('Mapa final'!#REF!="Muy Baja",'Mapa final'!#REF!="Menor"),CONCATENATE("R2C",'Mapa final'!#REF!),"")</f>
        <v>#REF!</v>
      </c>
      <c r="S47" s="90" t="e">
        <f>IF(AND('Mapa final'!#REF!="Muy Baja",'Mapa final'!#REF!="Menor"),CONCATENATE("R2C",'Mapa final'!#REF!),"")</f>
        <v>#REF!</v>
      </c>
      <c r="T47" s="90" t="e">
        <f>IF(AND('Mapa final'!#REF!="Muy Baja",'Mapa final'!#REF!="Menor"),CONCATENATE("R2C",'Mapa final'!#REF!),"")</f>
        <v>#REF!</v>
      </c>
      <c r="U47" s="91" t="e">
        <f>IF(AND('Mapa final'!#REF!="Muy Baja",'Mapa final'!#REF!="Menor"),CONCATENATE("R2C",'Mapa final'!#REF!),"")</f>
        <v>#REF!</v>
      </c>
      <c r="V47" s="33" t="str">
        <f>IF(AND('Mapa final'!$AB$16="Muy Baja",'Mapa final'!$AD$16="Moderado"),CONCATENATE("R2C",'Mapa final'!$Q$16),"")</f>
        <v/>
      </c>
      <c r="W47" s="107" t="e">
        <f>IF(AND('Mapa final'!#REF!="Muy Baja",'Mapa final'!#REF!="Moderado"),CONCATENATE("R2C",'Mapa final'!#REF!),"")</f>
        <v>#REF!</v>
      </c>
      <c r="X47" s="107" t="e">
        <f>IF(AND('Mapa final'!#REF!="Muy Baja",'Mapa final'!#REF!="Moderado"),CONCATENATE("R2C",'Mapa final'!#REF!),"")</f>
        <v>#REF!</v>
      </c>
      <c r="Y47" s="107" t="e">
        <f>IF(AND('Mapa final'!#REF!="Muy Baja",'Mapa final'!#REF!="Moderado"),CONCATENATE("R2C",'Mapa final'!#REF!),"")</f>
        <v>#REF!</v>
      </c>
      <c r="Z47" s="107" t="e">
        <f>IF(AND('Mapa final'!#REF!="Muy Baja",'Mapa final'!#REF!="Moderado"),CONCATENATE("R2C",'Mapa final'!#REF!),"")</f>
        <v>#REF!</v>
      </c>
      <c r="AA47" s="108" t="e">
        <f>IF(AND('Mapa final'!#REF!="Muy Baja",'Mapa final'!#REF!="Moderado"),CONCATENATE("R2C",'Mapa final'!#REF!),"")</f>
        <v>#REF!</v>
      </c>
      <c r="AB47" s="98" t="str">
        <f>IF(AND('Mapa final'!$AB$16="Muy Baja",'Mapa final'!$AD$16="Mayor"),CONCATENATE("R2C",'Mapa final'!$Q$16),"")</f>
        <v/>
      </c>
      <c r="AC47" s="99" t="e">
        <f>IF(AND('Mapa final'!#REF!="Muy Baja",'Mapa final'!#REF!="Mayor"),CONCATENATE("R2C",'Mapa final'!#REF!),"")</f>
        <v>#REF!</v>
      </c>
      <c r="AD47" s="99" t="e">
        <f>IF(AND('Mapa final'!#REF!="Muy Baja",'Mapa final'!#REF!="Mayor"),CONCATENATE("R2C",'Mapa final'!#REF!),"")</f>
        <v>#REF!</v>
      </c>
      <c r="AE47" s="99" t="e">
        <f>IF(AND('Mapa final'!#REF!="Muy Baja",'Mapa final'!#REF!="Mayor"),CONCATENATE("R2C",'Mapa final'!#REF!),"")</f>
        <v>#REF!</v>
      </c>
      <c r="AF47" s="99" t="e">
        <f>IF(AND('Mapa final'!#REF!="Muy Baja",'Mapa final'!#REF!="Mayor"),CONCATENATE("R2C",'Mapa final'!#REF!),"")</f>
        <v>#REF!</v>
      </c>
      <c r="AG47" s="100" t="e">
        <f>IF(AND('Mapa final'!#REF!="Muy Baja",'Mapa final'!#REF!="Mayor"),CONCATENATE("R2C",'Mapa final'!#REF!),"")</f>
        <v>#REF!</v>
      </c>
      <c r="AH47" s="114" t="str">
        <f>IF(AND('Mapa final'!$AB$16="Muy Baja",'Mapa final'!$AD$16="Catastrófico"),CONCATENATE("R2C",'Mapa final'!$Q$16),"")</f>
        <v/>
      </c>
      <c r="AI47" s="115" t="e">
        <f>IF(AND('Mapa final'!#REF!="Muy Baja",'Mapa final'!#REF!="Catastrófico"),CONCATENATE("R2C",'Mapa final'!#REF!),"")</f>
        <v>#REF!</v>
      </c>
      <c r="AJ47" s="115" t="e">
        <f>IF(AND('Mapa final'!#REF!="Muy Baja",'Mapa final'!#REF!="Catastrófico"),CONCATENATE("R2C",'Mapa final'!#REF!),"")</f>
        <v>#REF!</v>
      </c>
      <c r="AK47" s="115" t="e">
        <f>IF(AND('Mapa final'!#REF!="Muy Baja",'Mapa final'!#REF!="Catastrófico"),CONCATENATE("R2C",'Mapa final'!#REF!),"")</f>
        <v>#REF!</v>
      </c>
      <c r="AL47" s="115" t="e">
        <f>IF(AND('Mapa final'!#REF!="Muy Baja",'Mapa final'!#REF!="Catastrófico"),CONCATENATE("R2C",'Mapa final'!#REF!),"")</f>
        <v>#REF!</v>
      </c>
      <c r="AM47" s="116" t="e">
        <f>IF(AND('Mapa final'!#REF!="Muy Baja",'Mapa final'!#REF!="Catastrófico"),CONCATENATE("R2C",'Mapa final'!#REF!),"")</f>
        <v>#REF!</v>
      </c>
      <c r="AN47" s="37"/>
      <c r="AO47" s="37"/>
      <c r="AP47" s="37"/>
      <c r="AQ47" s="37"/>
      <c r="AR47" s="37"/>
      <c r="AS47" s="37"/>
      <c r="AT47" s="37"/>
    </row>
    <row r="48" spans="1:46" ht="15" customHeight="1" x14ac:dyDescent="0.25">
      <c r="A48" s="37"/>
      <c r="B48" s="463"/>
      <c r="C48" s="463"/>
      <c r="D48" s="464"/>
      <c r="E48" s="520"/>
      <c r="F48" s="505"/>
      <c r="G48" s="505"/>
      <c r="H48" s="505"/>
      <c r="I48" s="506"/>
      <c r="J48" s="89" t="str">
        <f>IF(AND('Mapa final'!$AB$17="Muy Baja",'Mapa final'!$AD$17="Leve"),CONCATENATE("R3C",'Mapa final'!$Q$17),"")</f>
        <v/>
      </c>
      <c r="K48" s="90" t="e">
        <f>IF(AND('Mapa final'!#REF!="Muy Baja",'Mapa final'!#REF!="Leve"),CONCATENATE("R3C",'Mapa final'!#REF!),"")</f>
        <v>#REF!</v>
      </c>
      <c r="L48" s="90" t="e">
        <f>IF(AND('Mapa final'!#REF!="Muy Baja",'Mapa final'!#REF!="Leve"),CONCATENATE("R3C",'Mapa final'!#REF!),"")</f>
        <v>#REF!</v>
      </c>
      <c r="M48" s="90" t="e">
        <f>IF(AND('Mapa final'!#REF!="Muy Baja",'Mapa final'!#REF!="Leve"),CONCATENATE("R3C",'Mapa final'!#REF!),"")</f>
        <v>#REF!</v>
      </c>
      <c r="N48" s="90" t="e">
        <f>IF(AND('Mapa final'!#REF!="Muy Baja",'Mapa final'!#REF!="Leve"),CONCATENATE("R3C",'Mapa final'!#REF!),"")</f>
        <v>#REF!</v>
      </c>
      <c r="O48" s="91" t="e">
        <f>IF(AND('Mapa final'!#REF!="Muy Baja",'Mapa final'!#REF!="Leve"),CONCATENATE("R3C",'Mapa final'!#REF!),"")</f>
        <v>#REF!</v>
      </c>
      <c r="P48" s="89" t="str">
        <f>IF(AND('Mapa final'!$AB$17="Muy Baja",'Mapa final'!$AD$17="Menor"),CONCATENATE("R3C",'Mapa final'!$Q$17),"")</f>
        <v/>
      </c>
      <c r="Q48" s="90" t="e">
        <f>IF(AND('Mapa final'!#REF!="Muy Baja",'Mapa final'!#REF!="Menor"),CONCATENATE("R3C",'Mapa final'!#REF!),"")</f>
        <v>#REF!</v>
      </c>
      <c r="R48" s="90" t="e">
        <f>IF(AND('Mapa final'!#REF!="Muy Baja",'Mapa final'!#REF!="Menor"),CONCATENATE("R3C",'Mapa final'!#REF!),"")</f>
        <v>#REF!</v>
      </c>
      <c r="S48" s="90" t="e">
        <f>IF(AND('Mapa final'!#REF!="Muy Baja",'Mapa final'!#REF!="Menor"),CONCATENATE("R3C",'Mapa final'!#REF!),"")</f>
        <v>#REF!</v>
      </c>
      <c r="T48" s="90" t="e">
        <f>IF(AND('Mapa final'!#REF!="Muy Baja",'Mapa final'!#REF!="Menor"),CONCATENATE("R3C",'Mapa final'!#REF!),"")</f>
        <v>#REF!</v>
      </c>
      <c r="U48" s="91" t="e">
        <f>IF(AND('Mapa final'!#REF!="Muy Baja",'Mapa final'!#REF!="Menor"),CONCATENATE("R3C",'Mapa final'!#REF!),"")</f>
        <v>#REF!</v>
      </c>
      <c r="V48" s="33" t="str">
        <f>IF(AND('Mapa final'!$AB$17="Muy Baja",'Mapa final'!$AD$17="Moderado"),CONCATENATE("R3C",'Mapa final'!$Q$17),"")</f>
        <v/>
      </c>
      <c r="W48" s="107" t="e">
        <f>IF(AND('Mapa final'!#REF!="Muy Baja",'Mapa final'!#REF!="Moderado"),CONCATENATE("R3C",'Mapa final'!#REF!),"")</f>
        <v>#REF!</v>
      </c>
      <c r="X48" s="107" t="e">
        <f>IF(AND('Mapa final'!#REF!="Muy Baja",'Mapa final'!#REF!="Moderado"),CONCATENATE("R3C",'Mapa final'!#REF!),"")</f>
        <v>#REF!</v>
      </c>
      <c r="Y48" s="107" t="e">
        <f>IF(AND('Mapa final'!#REF!="Muy Baja",'Mapa final'!#REF!="Moderado"),CONCATENATE("R3C",'Mapa final'!#REF!),"")</f>
        <v>#REF!</v>
      </c>
      <c r="Z48" s="107" t="e">
        <f>IF(AND('Mapa final'!#REF!="Muy Baja",'Mapa final'!#REF!="Moderado"),CONCATENATE("R3C",'Mapa final'!#REF!),"")</f>
        <v>#REF!</v>
      </c>
      <c r="AA48" s="108" t="e">
        <f>IF(AND('Mapa final'!#REF!="Muy Baja",'Mapa final'!#REF!="Moderado"),CONCATENATE("R3C",'Mapa final'!#REF!),"")</f>
        <v>#REF!</v>
      </c>
      <c r="AB48" s="98" t="str">
        <f>IF(AND('Mapa final'!$AB$17="Muy Baja",'Mapa final'!$AD$17="Mayor"),CONCATENATE("R3C",'Mapa final'!$Q$17),"")</f>
        <v/>
      </c>
      <c r="AC48" s="99" t="e">
        <f>IF(AND('Mapa final'!#REF!="Muy Baja",'Mapa final'!#REF!="Mayor"),CONCATENATE("R3C",'Mapa final'!#REF!),"")</f>
        <v>#REF!</v>
      </c>
      <c r="AD48" s="99" t="e">
        <f>IF(AND('Mapa final'!#REF!="Muy Baja",'Mapa final'!#REF!="Mayor"),CONCATENATE("R3C",'Mapa final'!#REF!),"")</f>
        <v>#REF!</v>
      </c>
      <c r="AE48" s="99" t="e">
        <f>IF(AND('Mapa final'!#REF!="Muy Baja",'Mapa final'!#REF!="Mayor"),CONCATENATE("R3C",'Mapa final'!#REF!),"")</f>
        <v>#REF!</v>
      </c>
      <c r="AF48" s="99" t="e">
        <f>IF(AND('Mapa final'!#REF!="Muy Baja",'Mapa final'!#REF!="Mayor"),CONCATENATE("R3C",'Mapa final'!#REF!),"")</f>
        <v>#REF!</v>
      </c>
      <c r="AG48" s="100" t="e">
        <f>IF(AND('Mapa final'!#REF!="Muy Baja",'Mapa final'!#REF!="Mayor"),CONCATENATE("R3C",'Mapa final'!#REF!),"")</f>
        <v>#REF!</v>
      </c>
      <c r="AH48" s="114" t="str">
        <f>IF(AND('Mapa final'!$AB$17="Muy Baja",'Mapa final'!$AD$17="Catastrófico"),CONCATENATE("R3C",'Mapa final'!$Q$17),"")</f>
        <v/>
      </c>
      <c r="AI48" s="115" t="e">
        <f>IF(AND('Mapa final'!#REF!="Muy Baja",'Mapa final'!#REF!="Catastrófico"),CONCATENATE("R3C",'Mapa final'!#REF!),"")</f>
        <v>#REF!</v>
      </c>
      <c r="AJ48" s="115" t="e">
        <f>IF(AND('Mapa final'!#REF!="Muy Baja",'Mapa final'!#REF!="Catastrófico"),CONCATENATE("R3C",'Mapa final'!#REF!),"")</f>
        <v>#REF!</v>
      </c>
      <c r="AK48" s="115" t="e">
        <f>IF(AND('Mapa final'!#REF!="Muy Baja",'Mapa final'!#REF!="Catastrófico"),CONCATENATE("R3C",'Mapa final'!#REF!),"")</f>
        <v>#REF!</v>
      </c>
      <c r="AL48" s="115" t="e">
        <f>IF(AND('Mapa final'!#REF!="Muy Baja",'Mapa final'!#REF!="Catastrófico"),CONCATENATE("R3C",'Mapa final'!#REF!),"")</f>
        <v>#REF!</v>
      </c>
      <c r="AM48" s="116" t="e">
        <f>IF(AND('Mapa final'!#REF!="Muy Baja",'Mapa final'!#REF!="Catastrófico"),CONCATENATE("R3C",'Mapa final'!#REF!),"")</f>
        <v>#REF!</v>
      </c>
      <c r="AN48" s="37"/>
      <c r="AO48" s="37"/>
      <c r="AP48" s="37"/>
      <c r="AQ48" s="37"/>
      <c r="AR48" s="37"/>
      <c r="AS48" s="37"/>
      <c r="AT48" s="37"/>
    </row>
    <row r="49" spans="1:46" ht="15" customHeight="1" x14ac:dyDescent="0.25">
      <c r="A49" s="37"/>
      <c r="B49" s="463"/>
      <c r="C49" s="463"/>
      <c r="D49" s="464"/>
      <c r="E49" s="504"/>
      <c r="F49" s="505"/>
      <c r="G49" s="505"/>
      <c r="H49" s="505"/>
      <c r="I49" s="506"/>
      <c r="J49" s="89" t="str">
        <f>IF(AND('Mapa final'!$AB$18="Muy Baja",'Mapa final'!$AD$18="Leve"),CONCATENATE("R4C",'Mapa final'!$Q$18),"")</f>
        <v/>
      </c>
      <c r="K49" s="90" t="e">
        <f>IF(AND('Mapa final'!#REF!="Muy Baja",'Mapa final'!#REF!="Leve"),CONCATENATE("R4C",'Mapa final'!#REF!),"")</f>
        <v>#REF!</v>
      </c>
      <c r="L49" s="90" t="e">
        <f>IF(AND('Mapa final'!#REF!="Muy Baja",'Mapa final'!#REF!="Leve"),CONCATENATE("R4C",'Mapa final'!#REF!),"")</f>
        <v>#REF!</v>
      </c>
      <c r="M49" s="90" t="e">
        <f>IF(AND('Mapa final'!#REF!="Muy Baja",'Mapa final'!#REF!="Leve"),CONCATENATE("R4C",'Mapa final'!#REF!),"")</f>
        <v>#REF!</v>
      </c>
      <c r="N49" s="90" t="e">
        <f>IF(AND('Mapa final'!#REF!="Muy Baja",'Mapa final'!#REF!="Leve"),CONCATENATE("R4C",'Mapa final'!#REF!),"")</f>
        <v>#REF!</v>
      </c>
      <c r="O49" s="91" t="e">
        <f>IF(AND('Mapa final'!#REF!="Muy Baja",'Mapa final'!#REF!="Leve"),CONCATENATE("R4C",'Mapa final'!#REF!),"")</f>
        <v>#REF!</v>
      </c>
      <c r="P49" s="89" t="str">
        <f>IF(AND('Mapa final'!$AB$18="Muy Baja",'Mapa final'!$AD$18="Menor"),CONCATENATE("R4C",'Mapa final'!$Q$18),"")</f>
        <v/>
      </c>
      <c r="Q49" s="90" t="e">
        <f>IF(AND('Mapa final'!#REF!="Muy Baja",'Mapa final'!#REF!="Menor"),CONCATENATE("R4C",'Mapa final'!#REF!),"")</f>
        <v>#REF!</v>
      </c>
      <c r="R49" s="90" t="e">
        <f>IF(AND('Mapa final'!#REF!="Muy Baja",'Mapa final'!#REF!="Menor"),CONCATENATE("R4C",'Mapa final'!#REF!),"")</f>
        <v>#REF!</v>
      </c>
      <c r="S49" s="90" t="e">
        <f>IF(AND('Mapa final'!#REF!="Muy Baja",'Mapa final'!#REF!="Menor"),CONCATENATE("R4C",'Mapa final'!#REF!),"")</f>
        <v>#REF!</v>
      </c>
      <c r="T49" s="90" t="e">
        <f>IF(AND('Mapa final'!#REF!="Muy Baja",'Mapa final'!#REF!="Menor"),CONCATENATE("R4C",'Mapa final'!#REF!),"")</f>
        <v>#REF!</v>
      </c>
      <c r="U49" s="91" t="e">
        <f>IF(AND('Mapa final'!#REF!="Muy Baja",'Mapa final'!#REF!="Menor"),CONCATENATE("R4C",'Mapa final'!#REF!),"")</f>
        <v>#REF!</v>
      </c>
      <c r="V49" s="33" t="str">
        <f>IF(AND('Mapa final'!$AB$18="Muy Baja",'Mapa final'!$AD$18="Moderado"),CONCATENATE("R4C",'Mapa final'!$Q$18),"")</f>
        <v/>
      </c>
      <c r="W49" s="107" t="e">
        <f>IF(AND('Mapa final'!#REF!="Muy Baja",'Mapa final'!#REF!="Moderado"),CONCATENATE("R4C",'Mapa final'!#REF!),"")</f>
        <v>#REF!</v>
      </c>
      <c r="X49" s="107" t="e">
        <f>IF(AND('Mapa final'!#REF!="Muy Baja",'Mapa final'!#REF!="Moderado"),CONCATENATE("R4C",'Mapa final'!#REF!),"")</f>
        <v>#REF!</v>
      </c>
      <c r="Y49" s="107" t="e">
        <f>IF(AND('Mapa final'!#REF!="Muy Baja",'Mapa final'!#REF!="Moderado"),CONCATENATE("R4C",'Mapa final'!#REF!),"")</f>
        <v>#REF!</v>
      </c>
      <c r="Z49" s="107" t="e">
        <f>IF(AND('Mapa final'!#REF!="Muy Baja",'Mapa final'!#REF!="Moderado"),CONCATENATE("R4C",'Mapa final'!#REF!),"")</f>
        <v>#REF!</v>
      </c>
      <c r="AA49" s="108" t="e">
        <f>IF(AND('Mapa final'!#REF!="Muy Baja",'Mapa final'!#REF!="Moderado"),CONCATENATE("R4C",'Mapa final'!#REF!),"")</f>
        <v>#REF!</v>
      </c>
      <c r="AB49" s="98" t="str">
        <f>IF(AND('Mapa final'!$AB$18="Muy Baja",'Mapa final'!$AD$18="Mayor"),CONCATENATE("R4C",'Mapa final'!$Q$18),"")</f>
        <v/>
      </c>
      <c r="AC49" s="99" t="e">
        <f>IF(AND('Mapa final'!#REF!="Muy Baja",'Mapa final'!#REF!="Mayor"),CONCATENATE("R4C",'Mapa final'!#REF!),"")</f>
        <v>#REF!</v>
      </c>
      <c r="AD49" s="99" t="e">
        <f>IF(AND('Mapa final'!#REF!="Muy Baja",'Mapa final'!#REF!="Mayor"),CONCATENATE("R4C",'Mapa final'!#REF!),"")</f>
        <v>#REF!</v>
      </c>
      <c r="AE49" s="99" t="e">
        <f>IF(AND('Mapa final'!#REF!="Muy Baja",'Mapa final'!#REF!="Mayor"),CONCATENATE("R4C",'Mapa final'!#REF!),"")</f>
        <v>#REF!</v>
      </c>
      <c r="AF49" s="99" t="e">
        <f>IF(AND('Mapa final'!#REF!="Muy Baja",'Mapa final'!#REF!="Mayor"),CONCATENATE("R4C",'Mapa final'!#REF!),"")</f>
        <v>#REF!</v>
      </c>
      <c r="AG49" s="100" t="e">
        <f>IF(AND('Mapa final'!#REF!="Muy Baja",'Mapa final'!#REF!="Mayor"),CONCATENATE("R4C",'Mapa final'!#REF!),"")</f>
        <v>#REF!</v>
      </c>
      <c r="AH49" s="114" t="str">
        <f>IF(AND('Mapa final'!$AB$18="Muy Baja",'Mapa final'!$AD$18="Catastrófico"),CONCATENATE("R4C",'Mapa final'!$Q$18),"")</f>
        <v/>
      </c>
      <c r="AI49" s="115" t="e">
        <f>IF(AND('Mapa final'!#REF!="Muy Baja",'Mapa final'!#REF!="Catastrófico"),CONCATENATE("R4C",'Mapa final'!#REF!),"")</f>
        <v>#REF!</v>
      </c>
      <c r="AJ49" s="115" t="e">
        <f>IF(AND('Mapa final'!#REF!="Muy Baja",'Mapa final'!#REF!="Catastrófico"),CONCATENATE("R4C",'Mapa final'!#REF!),"")</f>
        <v>#REF!</v>
      </c>
      <c r="AK49" s="115" t="e">
        <f>IF(AND('Mapa final'!#REF!="Muy Baja",'Mapa final'!#REF!="Catastrófico"),CONCATENATE("R4C",'Mapa final'!#REF!),"")</f>
        <v>#REF!</v>
      </c>
      <c r="AL49" s="115" t="e">
        <f>IF(AND('Mapa final'!#REF!="Muy Baja",'Mapa final'!#REF!="Catastrófico"),CONCATENATE("R4C",'Mapa final'!#REF!),"")</f>
        <v>#REF!</v>
      </c>
      <c r="AM49" s="116" t="e">
        <f>IF(AND('Mapa final'!#REF!="Muy Baja",'Mapa final'!#REF!="Catastrófico"),CONCATENATE("R4C",'Mapa final'!#REF!),"")</f>
        <v>#REF!</v>
      </c>
      <c r="AN49" s="37"/>
      <c r="AO49" s="37"/>
      <c r="AP49" s="37"/>
      <c r="AQ49" s="37"/>
      <c r="AR49" s="37"/>
      <c r="AS49" s="37"/>
      <c r="AT49" s="37"/>
    </row>
    <row r="50" spans="1:46" ht="15" customHeight="1" x14ac:dyDescent="0.25">
      <c r="A50" s="37"/>
      <c r="B50" s="463"/>
      <c r="C50" s="463"/>
      <c r="D50" s="464"/>
      <c r="E50" s="504"/>
      <c r="F50" s="505"/>
      <c r="G50" s="505"/>
      <c r="H50" s="505"/>
      <c r="I50" s="506"/>
      <c r="J50" s="89" t="str">
        <f>IF(AND('Mapa final'!$AB$19="Muy Baja",'Mapa final'!$AD$19="Leve"),CONCATENATE("R5C",'Mapa final'!$Q$19),"")</f>
        <v/>
      </c>
      <c r="K50" s="90" t="str">
        <f>IF(AND('Mapa final'!$AB$20="Muy Baja",'Mapa final'!$AD$20="Leve"),CONCATENATE("R5C",'Mapa final'!$Q$20),"")</f>
        <v/>
      </c>
      <c r="L50" s="90" t="e">
        <f>IF(AND('Mapa final'!#REF!="Muy Baja",'Mapa final'!#REF!="Leve"),CONCATENATE("R5C",'Mapa final'!#REF!),"")</f>
        <v>#REF!</v>
      </c>
      <c r="M50" s="90" t="e">
        <f>IF(AND('Mapa final'!#REF!="Muy Baja",'Mapa final'!#REF!="Leve"),CONCATENATE("R5C",'Mapa final'!#REF!),"")</f>
        <v>#REF!</v>
      </c>
      <c r="N50" s="90" t="e">
        <f>IF(AND('Mapa final'!#REF!="Muy Baja",'Mapa final'!#REF!="Leve"),CONCATENATE("R5C",'Mapa final'!#REF!),"")</f>
        <v>#REF!</v>
      </c>
      <c r="O50" s="91" t="e">
        <f>IF(AND('Mapa final'!#REF!="Muy Baja",'Mapa final'!#REF!="Leve"),CONCATENATE("R5C",'Mapa final'!#REF!),"")</f>
        <v>#REF!</v>
      </c>
      <c r="P50" s="89" t="str">
        <f>IF(AND('Mapa final'!$AB$19="Muy Baja",'Mapa final'!$AD$19="Menor"),CONCATENATE("R5C",'Mapa final'!$Q$19),"")</f>
        <v/>
      </c>
      <c r="Q50" s="90" t="str">
        <f>IF(AND('Mapa final'!$AB$20="Muy Baja",'Mapa final'!$AD$20="Menor"),CONCATENATE("R5C",'Mapa final'!$Q$20),"")</f>
        <v/>
      </c>
      <c r="R50" s="90" t="e">
        <f>IF(AND('Mapa final'!#REF!="Muy Baja",'Mapa final'!#REF!="Menor"),CONCATENATE("R5C",'Mapa final'!#REF!),"")</f>
        <v>#REF!</v>
      </c>
      <c r="S50" s="90" t="e">
        <f>IF(AND('Mapa final'!#REF!="Muy Baja",'Mapa final'!#REF!="Menor"),CONCATENATE("R5C",'Mapa final'!#REF!),"")</f>
        <v>#REF!</v>
      </c>
      <c r="T50" s="90" t="e">
        <f>IF(AND('Mapa final'!#REF!="Muy Baja",'Mapa final'!#REF!="Menor"),CONCATENATE("R5C",'Mapa final'!#REF!),"")</f>
        <v>#REF!</v>
      </c>
      <c r="U50" s="91" t="e">
        <f>IF(AND('Mapa final'!#REF!="Muy Baja",'Mapa final'!#REF!="Menor"),CONCATENATE("R5C",'Mapa final'!#REF!),"")</f>
        <v>#REF!</v>
      </c>
      <c r="V50" s="33" t="str">
        <f>IF(AND('Mapa final'!$AB$19="Muy Baja",'Mapa final'!$AD$19="Moderado"),CONCATENATE("R5C",'Mapa final'!$Q$19),"")</f>
        <v/>
      </c>
      <c r="W50" s="107" t="str">
        <f>IF(AND('Mapa final'!$AB$20="Muy Baja",'Mapa final'!$AD$20="Moderado"),CONCATENATE("R5C",'Mapa final'!$Q$20),"")</f>
        <v/>
      </c>
      <c r="X50" s="107" t="e">
        <f>IF(AND('Mapa final'!#REF!="Muy Baja",'Mapa final'!#REF!="Moderado"),CONCATENATE("R5C",'Mapa final'!#REF!),"")</f>
        <v>#REF!</v>
      </c>
      <c r="Y50" s="107" t="e">
        <f>IF(AND('Mapa final'!#REF!="Muy Baja",'Mapa final'!#REF!="Moderado"),CONCATENATE("R5C",'Mapa final'!#REF!),"")</f>
        <v>#REF!</v>
      </c>
      <c r="Z50" s="107" t="e">
        <f>IF(AND('Mapa final'!#REF!="Muy Baja",'Mapa final'!#REF!="Moderado"),CONCATENATE("R5C",'Mapa final'!#REF!),"")</f>
        <v>#REF!</v>
      </c>
      <c r="AA50" s="108" t="e">
        <f>IF(AND('Mapa final'!#REF!="Muy Baja",'Mapa final'!#REF!="Moderado"),CONCATENATE("R5C",'Mapa final'!#REF!),"")</f>
        <v>#REF!</v>
      </c>
      <c r="AB50" s="98" t="str">
        <f>IF(AND('Mapa final'!$AB$19="Muy Baja",'Mapa final'!$AD$19="Mayor"),CONCATENATE("R5C",'Mapa final'!$Q$19),"")</f>
        <v/>
      </c>
      <c r="AC50" s="99" t="str">
        <f>IF(AND('Mapa final'!$AB$20="Muy Baja",'Mapa final'!$AD$20="Mayor"),CONCATENATE("R5C",'Mapa final'!$Q$20),"")</f>
        <v/>
      </c>
      <c r="AD50" s="99" t="e">
        <f>IF(AND('Mapa final'!#REF!="Muy Baja",'Mapa final'!#REF!="Mayor"),CONCATENATE("R5C",'Mapa final'!#REF!),"")</f>
        <v>#REF!</v>
      </c>
      <c r="AE50" s="99" t="e">
        <f>IF(AND('Mapa final'!#REF!="Muy Baja",'Mapa final'!#REF!="Mayor"),CONCATENATE("R5C",'Mapa final'!#REF!),"")</f>
        <v>#REF!</v>
      </c>
      <c r="AF50" s="99" t="e">
        <f>IF(AND('Mapa final'!#REF!="Muy Baja",'Mapa final'!#REF!="Mayor"),CONCATENATE("R5C",'Mapa final'!#REF!),"")</f>
        <v>#REF!</v>
      </c>
      <c r="AG50" s="100" t="e">
        <f>IF(AND('Mapa final'!#REF!="Muy Baja",'Mapa final'!#REF!="Mayor"),CONCATENATE("R5C",'Mapa final'!#REF!),"")</f>
        <v>#REF!</v>
      </c>
      <c r="AH50" s="114" t="str">
        <f>IF(AND('Mapa final'!$AB$19="Muy Baja",'Mapa final'!$AD$19="Catastrófico"),CONCATENATE("R5C",'Mapa final'!$Q$19),"")</f>
        <v/>
      </c>
      <c r="AI50" s="115" t="str">
        <f>IF(AND('Mapa final'!$AB$20="Muy Baja",'Mapa final'!$AD$20="Catastrófico"),CONCATENATE("R5C",'Mapa final'!$Q$20),"")</f>
        <v/>
      </c>
      <c r="AJ50" s="115" t="e">
        <f>IF(AND('Mapa final'!#REF!="Muy Baja",'Mapa final'!#REF!="Catastrófico"),CONCATENATE("R5C",'Mapa final'!#REF!),"")</f>
        <v>#REF!</v>
      </c>
      <c r="AK50" s="115" t="e">
        <f>IF(AND('Mapa final'!#REF!="Muy Baja",'Mapa final'!#REF!="Catastrófico"),CONCATENATE("R5C",'Mapa final'!#REF!),"")</f>
        <v>#REF!</v>
      </c>
      <c r="AL50" s="115" t="e">
        <f>IF(AND('Mapa final'!#REF!="Muy Baja",'Mapa final'!#REF!="Catastrófico"),CONCATENATE("R5C",'Mapa final'!#REF!),"")</f>
        <v>#REF!</v>
      </c>
      <c r="AM50" s="116" t="e">
        <f>IF(AND('Mapa final'!#REF!="Muy Baja",'Mapa final'!#REF!="Catastrófico"),CONCATENATE("R5C",'Mapa final'!#REF!),"")</f>
        <v>#REF!</v>
      </c>
      <c r="AN50" s="37"/>
      <c r="AO50" s="37"/>
      <c r="AP50" s="37"/>
      <c r="AQ50" s="37"/>
      <c r="AR50" s="37"/>
      <c r="AS50" s="37"/>
      <c r="AT50" s="37"/>
    </row>
    <row r="51" spans="1:46" ht="15" customHeight="1" x14ac:dyDescent="0.25">
      <c r="A51" s="37"/>
      <c r="B51" s="463"/>
      <c r="C51" s="463"/>
      <c r="D51" s="464"/>
      <c r="E51" s="504"/>
      <c r="F51" s="505"/>
      <c r="G51" s="505"/>
      <c r="H51" s="505"/>
      <c r="I51" s="506"/>
      <c r="J51" s="89" t="str">
        <f>IF(AND('Mapa final'!$AB$21="Muy Baja",'Mapa final'!$AD$21="Leve"),CONCATENATE("R6C",'Mapa final'!$Q$21),"")</f>
        <v/>
      </c>
      <c r="K51" s="90" t="e">
        <f>IF(AND('Mapa final'!#REF!="Muy Baja",'Mapa final'!#REF!="Leve"),CONCATENATE("R6C",'Mapa final'!#REF!),"")</f>
        <v>#REF!</v>
      </c>
      <c r="L51" s="90" t="e">
        <f>IF(AND('Mapa final'!#REF!="Muy Baja",'Mapa final'!#REF!="Leve"),CONCATENATE("R6C",'Mapa final'!#REF!),"")</f>
        <v>#REF!</v>
      </c>
      <c r="M51" s="90" t="e">
        <f>IF(AND('Mapa final'!#REF!="Muy Baja",'Mapa final'!#REF!="Leve"),CONCATENATE("R6C",'Mapa final'!#REF!),"")</f>
        <v>#REF!</v>
      </c>
      <c r="N51" s="90" t="e">
        <f>IF(AND('Mapa final'!#REF!="Muy Baja",'Mapa final'!#REF!="Leve"),CONCATENATE("R6C",'Mapa final'!#REF!),"")</f>
        <v>#REF!</v>
      </c>
      <c r="O51" s="91" t="e">
        <f>IF(AND('Mapa final'!#REF!="Muy Baja",'Mapa final'!#REF!="Leve"),CONCATENATE("R6C",'Mapa final'!#REF!),"")</f>
        <v>#REF!</v>
      </c>
      <c r="P51" s="89" t="str">
        <f>IF(AND('Mapa final'!$AB$21="Muy Baja",'Mapa final'!$AD$21="Menor"),CONCATENATE("R6C",'Mapa final'!$Q$21),"")</f>
        <v/>
      </c>
      <c r="Q51" s="90" t="e">
        <f>IF(AND('Mapa final'!#REF!="Muy Baja",'Mapa final'!#REF!="Menor"),CONCATENATE("R6C",'Mapa final'!#REF!),"")</f>
        <v>#REF!</v>
      </c>
      <c r="R51" s="90" t="e">
        <f>IF(AND('Mapa final'!#REF!="Muy Baja",'Mapa final'!#REF!="Menor"),CONCATENATE("R6C",'Mapa final'!#REF!),"")</f>
        <v>#REF!</v>
      </c>
      <c r="S51" s="90" t="e">
        <f>IF(AND('Mapa final'!#REF!="Muy Baja",'Mapa final'!#REF!="Menor"),CONCATENATE("R6C",'Mapa final'!#REF!),"")</f>
        <v>#REF!</v>
      </c>
      <c r="T51" s="90" t="e">
        <f>IF(AND('Mapa final'!#REF!="Muy Baja",'Mapa final'!#REF!="Menor"),CONCATENATE("R6C",'Mapa final'!#REF!),"")</f>
        <v>#REF!</v>
      </c>
      <c r="U51" s="91" t="e">
        <f>IF(AND('Mapa final'!#REF!="Muy Baja",'Mapa final'!#REF!="Menor"),CONCATENATE("R6C",'Mapa final'!#REF!),"")</f>
        <v>#REF!</v>
      </c>
      <c r="V51" s="33" t="str">
        <f>IF(AND('Mapa final'!$AB$21="Muy Baja",'Mapa final'!$AD$21="Moderado"),CONCATENATE("R6C",'Mapa final'!$Q$21),"")</f>
        <v/>
      </c>
      <c r="W51" s="107" t="e">
        <f>IF(AND('Mapa final'!#REF!="Muy Baja",'Mapa final'!#REF!="Moderado"),CONCATENATE("R6C",'Mapa final'!#REF!),"")</f>
        <v>#REF!</v>
      </c>
      <c r="X51" s="107" t="e">
        <f>IF(AND('Mapa final'!#REF!="Muy Baja",'Mapa final'!#REF!="Moderado"),CONCATENATE("R6C",'Mapa final'!#REF!),"")</f>
        <v>#REF!</v>
      </c>
      <c r="Y51" s="107" t="e">
        <f>IF(AND('Mapa final'!#REF!="Muy Baja",'Mapa final'!#REF!="Moderado"),CONCATENATE("R6C",'Mapa final'!#REF!),"")</f>
        <v>#REF!</v>
      </c>
      <c r="Z51" s="107" t="e">
        <f>IF(AND('Mapa final'!#REF!="Muy Baja",'Mapa final'!#REF!="Moderado"),CONCATENATE("R6C",'Mapa final'!#REF!),"")</f>
        <v>#REF!</v>
      </c>
      <c r="AA51" s="108" t="e">
        <f>IF(AND('Mapa final'!#REF!="Muy Baja",'Mapa final'!#REF!="Moderado"),CONCATENATE("R6C",'Mapa final'!#REF!),"")</f>
        <v>#REF!</v>
      </c>
      <c r="AB51" s="98" t="str">
        <f>IF(AND('Mapa final'!$AB$21="Muy Baja",'Mapa final'!$AD$21="Mayor"),CONCATENATE("R6C",'Mapa final'!$Q$21),"")</f>
        <v/>
      </c>
      <c r="AC51" s="99" t="e">
        <f>IF(AND('Mapa final'!#REF!="Muy Baja",'Mapa final'!#REF!="Mayor"),CONCATENATE("R6C",'Mapa final'!#REF!),"")</f>
        <v>#REF!</v>
      </c>
      <c r="AD51" s="99" t="e">
        <f>IF(AND('Mapa final'!#REF!="Muy Baja",'Mapa final'!#REF!="Mayor"),CONCATENATE("R6C",'Mapa final'!#REF!),"")</f>
        <v>#REF!</v>
      </c>
      <c r="AE51" s="99" t="e">
        <f>IF(AND('Mapa final'!#REF!="Muy Baja",'Mapa final'!#REF!="Mayor"),CONCATENATE("R6C",'Mapa final'!#REF!),"")</f>
        <v>#REF!</v>
      </c>
      <c r="AF51" s="99" t="e">
        <f>IF(AND('Mapa final'!#REF!="Muy Baja",'Mapa final'!#REF!="Mayor"),CONCATENATE("R6C",'Mapa final'!#REF!),"")</f>
        <v>#REF!</v>
      </c>
      <c r="AG51" s="100" t="e">
        <f>IF(AND('Mapa final'!#REF!="Muy Baja",'Mapa final'!#REF!="Mayor"),CONCATENATE("R6C",'Mapa final'!#REF!),"")</f>
        <v>#REF!</v>
      </c>
      <c r="AH51" s="114" t="str">
        <f>IF(AND('Mapa final'!$AB$21="Muy Baja",'Mapa final'!$AD$21="Catastrófico"),CONCATENATE("R6C",'Mapa final'!$Q$21),"")</f>
        <v/>
      </c>
      <c r="AI51" s="115" t="e">
        <f>IF(AND('Mapa final'!#REF!="Muy Baja",'Mapa final'!#REF!="Catastrófico"),CONCATENATE("R6C",'Mapa final'!#REF!),"")</f>
        <v>#REF!</v>
      </c>
      <c r="AJ51" s="115" t="e">
        <f>IF(AND('Mapa final'!#REF!="Muy Baja",'Mapa final'!#REF!="Catastrófico"),CONCATENATE("R6C",'Mapa final'!#REF!),"")</f>
        <v>#REF!</v>
      </c>
      <c r="AK51" s="115" t="e">
        <f>IF(AND('Mapa final'!#REF!="Muy Baja",'Mapa final'!#REF!="Catastrófico"),CONCATENATE("R6C",'Mapa final'!#REF!),"")</f>
        <v>#REF!</v>
      </c>
      <c r="AL51" s="115" t="e">
        <f>IF(AND('Mapa final'!#REF!="Muy Baja",'Mapa final'!#REF!="Catastrófico"),CONCATENATE("R6C",'Mapa final'!#REF!),"")</f>
        <v>#REF!</v>
      </c>
      <c r="AM51" s="116" t="e">
        <f>IF(AND('Mapa final'!#REF!="Muy Baja",'Mapa final'!#REF!="Catastrófico"),CONCATENATE("R6C",'Mapa final'!#REF!),"")</f>
        <v>#REF!</v>
      </c>
      <c r="AN51" s="37"/>
      <c r="AO51" s="37"/>
      <c r="AP51" s="37"/>
      <c r="AQ51" s="37"/>
      <c r="AR51" s="37"/>
      <c r="AS51" s="37"/>
      <c r="AT51" s="37"/>
    </row>
    <row r="52" spans="1:46" ht="15" customHeight="1" x14ac:dyDescent="0.25">
      <c r="A52" s="37"/>
      <c r="B52" s="463"/>
      <c r="C52" s="463"/>
      <c r="D52" s="464"/>
      <c r="E52" s="504"/>
      <c r="F52" s="505"/>
      <c r="G52" s="505"/>
      <c r="H52" s="505"/>
      <c r="I52" s="506"/>
      <c r="J52" s="89" t="str">
        <f>IF(AND('Mapa final'!$AB$22="Muy Baja",'Mapa final'!$AD$22="Leve"),CONCATENATE("R7C",'Mapa final'!$Q$22),"")</f>
        <v/>
      </c>
      <c r="K52" s="90" t="e">
        <f>IF(AND('Mapa final'!#REF!="Muy Baja",'Mapa final'!#REF!="Leve"),CONCATENATE("R7C",'Mapa final'!#REF!),"")</f>
        <v>#REF!</v>
      </c>
      <c r="L52" s="90" t="e">
        <f>IF(AND('Mapa final'!#REF!="Muy Baja",'Mapa final'!#REF!="Leve"),CONCATENATE("R7C",'Mapa final'!#REF!),"")</f>
        <v>#REF!</v>
      </c>
      <c r="M52" s="90" t="e">
        <f>IF(AND('Mapa final'!#REF!="Muy Baja",'Mapa final'!#REF!="Leve"),CONCATENATE("R7C",'Mapa final'!#REF!),"")</f>
        <v>#REF!</v>
      </c>
      <c r="N52" s="90" t="e">
        <f>IF(AND('Mapa final'!#REF!="Muy Baja",'Mapa final'!#REF!="Leve"),CONCATENATE("R7C",'Mapa final'!#REF!),"")</f>
        <v>#REF!</v>
      </c>
      <c r="O52" s="91" t="e">
        <f>IF(AND('Mapa final'!#REF!="Muy Baja",'Mapa final'!#REF!="Leve"),CONCATENATE("R7C",'Mapa final'!#REF!),"")</f>
        <v>#REF!</v>
      </c>
      <c r="P52" s="89" t="str">
        <f>IF(AND('Mapa final'!$AB$22="Muy Baja",'Mapa final'!$AD$22="Menor"),CONCATENATE("R7C",'Mapa final'!$Q$22),"")</f>
        <v/>
      </c>
      <c r="Q52" s="90" t="e">
        <f>IF(AND('Mapa final'!#REF!="Muy Baja",'Mapa final'!#REF!="Menor"),CONCATENATE("R7C",'Mapa final'!#REF!),"")</f>
        <v>#REF!</v>
      </c>
      <c r="R52" s="90" t="e">
        <f>IF(AND('Mapa final'!#REF!="Muy Baja",'Mapa final'!#REF!="Menor"),CONCATENATE("R7C",'Mapa final'!#REF!),"")</f>
        <v>#REF!</v>
      </c>
      <c r="S52" s="90" t="e">
        <f>IF(AND('Mapa final'!#REF!="Muy Baja",'Mapa final'!#REF!="Menor"),CONCATENATE("R7C",'Mapa final'!#REF!),"")</f>
        <v>#REF!</v>
      </c>
      <c r="T52" s="90" t="e">
        <f>IF(AND('Mapa final'!#REF!="Muy Baja",'Mapa final'!#REF!="Menor"),CONCATENATE("R7C",'Mapa final'!#REF!),"")</f>
        <v>#REF!</v>
      </c>
      <c r="U52" s="91" t="e">
        <f>IF(AND('Mapa final'!#REF!="Muy Baja",'Mapa final'!#REF!="Menor"),CONCATENATE("R7C",'Mapa final'!#REF!),"")</f>
        <v>#REF!</v>
      </c>
      <c r="V52" s="33" t="str">
        <f>IF(AND('Mapa final'!$AB$22="Muy Baja",'Mapa final'!$AD$22="Moderado"),CONCATENATE("R7C",'Mapa final'!$Q$22),"")</f>
        <v/>
      </c>
      <c r="W52" s="107" t="e">
        <f>IF(AND('Mapa final'!#REF!="Muy Baja",'Mapa final'!#REF!="Moderado"),CONCATENATE("R7C",'Mapa final'!#REF!),"")</f>
        <v>#REF!</v>
      </c>
      <c r="X52" s="107" t="e">
        <f>IF(AND('Mapa final'!#REF!="Muy Baja",'Mapa final'!#REF!="Moderado"),CONCATENATE("R7C",'Mapa final'!#REF!),"")</f>
        <v>#REF!</v>
      </c>
      <c r="Y52" s="107" t="e">
        <f>IF(AND('Mapa final'!#REF!="Muy Baja",'Mapa final'!#REF!="Moderado"),CONCATENATE("R7C",'Mapa final'!#REF!),"")</f>
        <v>#REF!</v>
      </c>
      <c r="Z52" s="107" t="e">
        <f>IF(AND('Mapa final'!#REF!="Muy Baja",'Mapa final'!#REF!="Moderado"),CONCATENATE("R7C",'Mapa final'!#REF!),"")</f>
        <v>#REF!</v>
      </c>
      <c r="AA52" s="108" t="e">
        <f>IF(AND('Mapa final'!#REF!="Muy Baja",'Mapa final'!#REF!="Moderado"),CONCATENATE("R7C",'Mapa final'!#REF!),"")</f>
        <v>#REF!</v>
      </c>
      <c r="AB52" s="98" t="str">
        <f>IF(AND('Mapa final'!$AB$22="Muy Baja",'Mapa final'!$AD$22="Mayor"),CONCATENATE("R7C",'Mapa final'!$Q$22),"")</f>
        <v/>
      </c>
      <c r="AC52" s="99" t="e">
        <f>IF(AND('Mapa final'!#REF!="Muy Baja",'Mapa final'!#REF!="Mayor"),CONCATENATE("R7C",'Mapa final'!#REF!),"")</f>
        <v>#REF!</v>
      </c>
      <c r="AD52" s="99" t="e">
        <f>IF(AND('Mapa final'!#REF!="Muy Baja",'Mapa final'!#REF!="Mayor"),CONCATENATE("R7C",'Mapa final'!#REF!),"")</f>
        <v>#REF!</v>
      </c>
      <c r="AE52" s="99" t="e">
        <f>IF(AND('Mapa final'!#REF!="Muy Baja",'Mapa final'!#REF!="Mayor"),CONCATENATE("R7C",'Mapa final'!#REF!),"")</f>
        <v>#REF!</v>
      </c>
      <c r="AF52" s="99" t="e">
        <f>IF(AND('Mapa final'!#REF!="Muy Baja",'Mapa final'!#REF!="Mayor"),CONCATENATE("R7C",'Mapa final'!#REF!),"")</f>
        <v>#REF!</v>
      </c>
      <c r="AG52" s="100" t="e">
        <f>IF(AND('Mapa final'!#REF!="Muy Baja",'Mapa final'!#REF!="Mayor"),CONCATENATE("R7C",'Mapa final'!#REF!),"")</f>
        <v>#REF!</v>
      </c>
      <c r="AH52" s="114" t="str">
        <f>IF(AND('Mapa final'!$AB$22="Muy Baja",'Mapa final'!$AD$22="Catastrófico"),CONCATENATE("R7C",'Mapa final'!$Q$22),"")</f>
        <v/>
      </c>
      <c r="AI52" s="115" t="e">
        <f>IF(AND('Mapa final'!#REF!="Muy Baja",'Mapa final'!#REF!="Catastrófico"),CONCATENATE("R7C",'Mapa final'!#REF!),"")</f>
        <v>#REF!</v>
      </c>
      <c r="AJ52" s="115" t="e">
        <f>IF(AND('Mapa final'!#REF!="Muy Baja",'Mapa final'!#REF!="Catastrófico"),CONCATENATE("R7C",'Mapa final'!#REF!),"")</f>
        <v>#REF!</v>
      </c>
      <c r="AK52" s="115" t="e">
        <f>IF(AND('Mapa final'!#REF!="Muy Baja",'Mapa final'!#REF!="Catastrófico"),CONCATENATE("R7C",'Mapa final'!#REF!),"")</f>
        <v>#REF!</v>
      </c>
      <c r="AL52" s="115" t="e">
        <f>IF(AND('Mapa final'!#REF!="Muy Baja",'Mapa final'!#REF!="Catastrófico"),CONCATENATE("R7C",'Mapa final'!#REF!),"")</f>
        <v>#REF!</v>
      </c>
      <c r="AM52" s="116" t="e">
        <f>IF(AND('Mapa final'!#REF!="Muy Baja",'Mapa final'!#REF!="Catastrófico"),CONCATENATE("R7C",'Mapa final'!#REF!),"")</f>
        <v>#REF!</v>
      </c>
      <c r="AN52" s="37"/>
      <c r="AO52" s="37"/>
      <c r="AP52" s="37"/>
      <c r="AQ52" s="37"/>
      <c r="AR52" s="37"/>
      <c r="AS52" s="37"/>
      <c r="AT52" s="37"/>
    </row>
    <row r="53" spans="1:46" ht="15" customHeight="1" x14ac:dyDescent="0.25">
      <c r="A53" s="37"/>
      <c r="B53" s="463"/>
      <c r="C53" s="463"/>
      <c r="D53" s="464"/>
      <c r="E53" s="504"/>
      <c r="F53" s="505"/>
      <c r="G53" s="505"/>
      <c r="H53" s="505"/>
      <c r="I53" s="506"/>
      <c r="J53" s="89" t="str">
        <f>IF(AND('Mapa final'!$AB$23="Muy Baja",'Mapa final'!$AD$23="Leve"),CONCATENATE("R8C",'Mapa final'!$Q$23),"")</f>
        <v/>
      </c>
      <c r="K53" s="90" t="e">
        <f>IF(AND('Mapa final'!#REF!="Muy Baja",'Mapa final'!#REF!="Leve"),CONCATENATE("R8C",'Mapa final'!#REF!),"")</f>
        <v>#REF!</v>
      </c>
      <c r="L53" s="90" t="e">
        <f>IF(AND('Mapa final'!#REF!="Muy Baja",'Mapa final'!#REF!="Leve"),CONCATENATE("R8C",'Mapa final'!#REF!),"")</f>
        <v>#REF!</v>
      </c>
      <c r="M53" s="90" t="e">
        <f>IF(AND('Mapa final'!#REF!="Muy Baja",'Mapa final'!#REF!="Leve"),CONCATENATE("R8C",'Mapa final'!#REF!),"")</f>
        <v>#REF!</v>
      </c>
      <c r="N53" s="90" t="e">
        <f>IF(AND('Mapa final'!#REF!="Muy Baja",'Mapa final'!#REF!="Leve"),CONCATENATE("R8C",'Mapa final'!#REF!),"")</f>
        <v>#REF!</v>
      </c>
      <c r="O53" s="91" t="e">
        <f>IF(AND('Mapa final'!#REF!="Muy Baja",'Mapa final'!#REF!="Leve"),CONCATENATE("R8C",'Mapa final'!#REF!),"")</f>
        <v>#REF!</v>
      </c>
      <c r="P53" s="89" t="str">
        <f>IF(AND('Mapa final'!$AB$23="Muy Baja",'Mapa final'!$AD$23="Menor"),CONCATENATE("R8C",'Mapa final'!$Q$23),"")</f>
        <v/>
      </c>
      <c r="Q53" s="90" t="e">
        <f>IF(AND('Mapa final'!#REF!="Muy Baja",'Mapa final'!#REF!="Menor"),CONCATENATE("R8C",'Mapa final'!#REF!),"")</f>
        <v>#REF!</v>
      </c>
      <c r="R53" s="90" t="e">
        <f>IF(AND('Mapa final'!#REF!="Muy Baja",'Mapa final'!#REF!="Menor"),CONCATENATE("R8C",'Mapa final'!#REF!),"")</f>
        <v>#REF!</v>
      </c>
      <c r="S53" s="90" t="e">
        <f>IF(AND('Mapa final'!#REF!="Muy Baja",'Mapa final'!#REF!="Menor"),CONCATENATE("R8C",'Mapa final'!#REF!),"")</f>
        <v>#REF!</v>
      </c>
      <c r="T53" s="90" t="e">
        <f>IF(AND('Mapa final'!#REF!="Muy Baja",'Mapa final'!#REF!="Menor"),CONCATENATE("R8C",'Mapa final'!#REF!),"")</f>
        <v>#REF!</v>
      </c>
      <c r="U53" s="91" t="e">
        <f>IF(AND('Mapa final'!#REF!="Muy Baja",'Mapa final'!#REF!="Menor"),CONCATENATE("R8C",'Mapa final'!#REF!),"")</f>
        <v>#REF!</v>
      </c>
      <c r="V53" s="33" t="str">
        <f>IF(AND('Mapa final'!$AB$23="Muy Baja",'Mapa final'!$AD$23="Moderado"),CONCATENATE("R8C",'Mapa final'!$Q$23),"")</f>
        <v/>
      </c>
      <c r="W53" s="107" t="e">
        <f>IF(AND('Mapa final'!#REF!="Muy Baja",'Mapa final'!#REF!="Moderado"),CONCATENATE("R8C",'Mapa final'!#REF!),"")</f>
        <v>#REF!</v>
      </c>
      <c r="X53" s="107" t="e">
        <f>IF(AND('Mapa final'!#REF!="Muy Baja",'Mapa final'!#REF!="Moderado"),CONCATENATE("R8C",'Mapa final'!#REF!),"")</f>
        <v>#REF!</v>
      </c>
      <c r="Y53" s="107" t="e">
        <f>IF(AND('Mapa final'!#REF!="Muy Baja",'Mapa final'!#REF!="Moderado"),CONCATENATE("R8C",'Mapa final'!#REF!),"")</f>
        <v>#REF!</v>
      </c>
      <c r="Z53" s="107" t="e">
        <f>IF(AND('Mapa final'!#REF!="Muy Baja",'Mapa final'!#REF!="Moderado"),CONCATENATE("R8C",'Mapa final'!#REF!),"")</f>
        <v>#REF!</v>
      </c>
      <c r="AA53" s="108" t="e">
        <f>IF(AND('Mapa final'!#REF!="Muy Baja",'Mapa final'!#REF!="Moderado"),CONCATENATE("R8C",'Mapa final'!#REF!),"")</f>
        <v>#REF!</v>
      </c>
      <c r="AB53" s="98" t="str">
        <f>IF(AND('Mapa final'!$AB$23="Muy Baja",'Mapa final'!$AD$23="Mayor"),CONCATENATE("R8C",'Mapa final'!$Q$23),"")</f>
        <v/>
      </c>
      <c r="AC53" s="99" t="e">
        <f>IF(AND('Mapa final'!#REF!="Muy Baja",'Mapa final'!#REF!="Mayor"),CONCATENATE("R8C",'Mapa final'!#REF!),"")</f>
        <v>#REF!</v>
      </c>
      <c r="AD53" s="99" t="e">
        <f>IF(AND('Mapa final'!#REF!="Muy Baja",'Mapa final'!#REF!="Mayor"),CONCATENATE("R8C",'Mapa final'!#REF!),"")</f>
        <v>#REF!</v>
      </c>
      <c r="AE53" s="99" t="e">
        <f>IF(AND('Mapa final'!#REF!="Muy Baja",'Mapa final'!#REF!="Mayor"),CONCATENATE("R8C",'Mapa final'!#REF!),"")</f>
        <v>#REF!</v>
      </c>
      <c r="AF53" s="99" t="e">
        <f>IF(AND('Mapa final'!#REF!="Muy Baja",'Mapa final'!#REF!="Mayor"),CONCATENATE("R8C",'Mapa final'!#REF!),"")</f>
        <v>#REF!</v>
      </c>
      <c r="AG53" s="100" t="e">
        <f>IF(AND('Mapa final'!#REF!="Muy Baja",'Mapa final'!#REF!="Mayor"),CONCATENATE("R8C",'Mapa final'!#REF!),"")</f>
        <v>#REF!</v>
      </c>
      <c r="AH53" s="114" t="str">
        <f>IF(AND('Mapa final'!$AB$23="Muy Baja",'Mapa final'!$AD$23="Catastrófico"),CONCATENATE("R8C",'Mapa final'!$Q$23),"")</f>
        <v/>
      </c>
      <c r="AI53" s="115" t="e">
        <f>IF(AND('Mapa final'!#REF!="Muy Baja",'Mapa final'!#REF!="Catastrófico"),CONCATENATE("R8C",'Mapa final'!#REF!),"")</f>
        <v>#REF!</v>
      </c>
      <c r="AJ53" s="115" t="e">
        <f>IF(AND('Mapa final'!#REF!="Muy Baja",'Mapa final'!#REF!="Catastrófico"),CONCATENATE("R8C",'Mapa final'!#REF!),"")</f>
        <v>#REF!</v>
      </c>
      <c r="AK53" s="115" t="e">
        <f>IF(AND('Mapa final'!#REF!="Muy Baja",'Mapa final'!#REF!="Catastrófico"),CONCATENATE("R8C",'Mapa final'!#REF!),"")</f>
        <v>#REF!</v>
      </c>
      <c r="AL53" s="115" t="e">
        <f>IF(AND('Mapa final'!#REF!="Muy Baja",'Mapa final'!#REF!="Catastrófico"),CONCATENATE("R8C",'Mapa final'!#REF!),"")</f>
        <v>#REF!</v>
      </c>
      <c r="AM53" s="116" t="e">
        <f>IF(AND('Mapa final'!#REF!="Muy Baja",'Mapa final'!#REF!="Catastrófico"),CONCATENATE("R8C",'Mapa final'!#REF!),"")</f>
        <v>#REF!</v>
      </c>
      <c r="AN53" s="37"/>
      <c r="AO53" s="37"/>
      <c r="AP53" s="37"/>
      <c r="AQ53" s="37"/>
      <c r="AR53" s="37"/>
      <c r="AS53" s="37"/>
      <c r="AT53" s="37"/>
    </row>
    <row r="54" spans="1:46" ht="15" customHeight="1" x14ac:dyDescent="0.25">
      <c r="A54" s="37"/>
      <c r="B54" s="463"/>
      <c r="C54" s="463"/>
      <c r="D54" s="464"/>
      <c r="E54" s="504"/>
      <c r="F54" s="505"/>
      <c r="G54" s="505"/>
      <c r="H54" s="505"/>
      <c r="I54" s="506"/>
      <c r="J54" s="89" t="str">
        <f>IF(AND('Mapa final'!$AB$24="Muy Baja",'Mapa final'!$AD$24="Leve"),CONCATENATE("R9C",'Mapa final'!$Q$24),"")</f>
        <v/>
      </c>
      <c r="K54" s="90" t="str">
        <f>IF(AND('Mapa final'!$AB$25="Muy Baja",'Mapa final'!$AD$25="Leve"),CONCATENATE("R9C",'Mapa final'!$Q$25),"")</f>
        <v>R9C2</v>
      </c>
      <c r="L54" s="90" t="str">
        <f>IF(AND('Mapa final'!$AB$26="Muy Baja",'Mapa final'!$AD$26="Leve"),CONCATENATE("R9C",'Mapa final'!$Q$26),"")</f>
        <v>R9C3</v>
      </c>
      <c r="M54" s="90" t="e">
        <f>IF(AND('Mapa final'!#REF!="Muy Baja",'Mapa final'!#REF!="Leve"),CONCATENATE("R9C",'Mapa final'!#REF!),"")</f>
        <v>#REF!</v>
      </c>
      <c r="N54" s="90" t="e">
        <f>IF(AND('Mapa final'!#REF!="Muy Baja",'Mapa final'!#REF!="Leve"),CONCATENATE("R9C",'Mapa final'!#REF!),"")</f>
        <v>#REF!</v>
      </c>
      <c r="O54" s="91" t="e">
        <f>IF(AND('Mapa final'!#REF!="Muy Baja",'Mapa final'!#REF!="Leve"),CONCATENATE("R9C",'Mapa final'!#REF!),"")</f>
        <v>#REF!</v>
      </c>
      <c r="P54" s="89" t="str">
        <f>IF(AND('Mapa final'!$AB$24="Muy Baja",'Mapa final'!$AD$24="Menor"),CONCATENATE("R9C",'Mapa final'!$Q$24),"")</f>
        <v/>
      </c>
      <c r="Q54" s="90" t="str">
        <f>IF(AND('Mapa final'!$AB$25="Muy Baja",'Mapa final'!$AD$25="Menor"),CONCATENATE("R9C",'Mapa final'!$Q$25),"")</f>
        <v/>
      </c>
      <c r="R54" s="90" t="str">
        <f>IF(AND('Mapa final'!$AB$26="Muy Baja",'Mapa final'!$AD$26="Menor"),CONCATENATE("R9C",'Mapa final'!$Q$26),"")</f>
        <v/>
      </c>
      <c r="S54" s="90" t="e">
        <f>IF(AND('Mapa final'!#REF!="Muy Baja",'Mapa final'!#REF!="Menor"),CONCATENATE("R9C",'Mapa final'!#REF!),"")</f>
        <v>#REF!</v>
      </c>
      <c r="T54" s="90" t="e">
        <f>IF(AND('Mapa final'!#REF!="Muy Baja",'Mapa final'!#REF!="Menor"),CONCATENATE("R9C",'Mapa final'!#REF!),"")</f>
        <v>#REF!</v>
      </c>
      <c r="U54" s="91" t="e">
        <f>IF(AND('Mapa final'!#REF!="Muy Baja",'Mapa final'!#REF!="Menor"),CONCATENATE("R9C",'Mapa final'!#REF!),"")</f>
        <v>#REF!</v>
      </c>
      <c r="V54" s="33" t="str">
        <f>IF(AND('Mapa final'!$AB$24="Muy Baja",'Mapa final'!$AD$24="Moderado"),CONCATENATE("R9C",'Mapa final'!$Q$24),"")</f>
        <v/>
      </c>
      <c r="W54" s="107" t="str">
        <f>IF(AND('Mapa final'!$AB$25="Muy Baja",'Mapa final'!$AD$25="Moderado"),CONCATENATE("R9C",'Mapa final'!$Q$25),"")</f>
        <v/>
      </c>
      <c r="X54" s="107" t="str">
        <f>IF(AND('Mapa final'!$AB$26="Muy Baja",'Mapa final'!$AD$26="Moderado"),CONCATENATE("R9C",'Mapa final'!$Q$26),"")</f>
        <v/>
      </c>
      <c r="Y54" s="107" t="e">
        <f>IF(AND('Mapa final'!#REF!="Muy Baja",'Mapa final'!#REF!="Moderado"),CONCATENATE("R9C",'Mapa final'!#REF!),"")</f>
        <v>#REF!</v>
      </c>
      <c r="Z54" s="107" t="e">
        <f>IF(AND('Mapa final'!#REF!="Muy Baja",'Mapa final'!#REF!="Moderado"),CONCATENATE("R9C",'Mapa final'!#REF!),"")</f>
        <v>#REF!</v>
      </c>
      <c r="AA54" s="108" t="e">
        <f>IF(AND('Mapa final'!#REF!="Muy Baja",'Mapa final'!#REF!="Moderado"),CONCATENATE("R9C",'Mapa final'!#REF!),"")</f>
        <v>#REF!</v>
      </c>
      <c r="AB54" s="98" t="str">
        <f>IF(AND('Mapa final'!$AB$24="Muy Baja",'Mapa final'!$AD$24="Mayor"),CONCATENATE("R9C",'Mapa final'!$Q$24),"")</f>
        <v/>
      </c>
      <c r="AC54" s="99" t="str">
        <f>IF(AND('Mapa final'!$AB$25="Muy Baja",'Mapa final'!$AD$25="Mayor"),CONCATENATE("R9C",'Mapa final'!$Q$25),"")</f>
        <v/>
      </c>
      <c r="AD54" s="99" t="str">
        <f>IF(AND('Mapa final'!$AB$26="Muy Baja",'Mapa final'!$AD$26="Mayor"),CONCATENATE("R9C",'Mapa final'!$Q$26),"")</f>
        <v/>
      </c>
      <c r="AE54" s="99" t="e">
        <f>IF(AND('Mapa final'!#REF!="Muy Baja",'Mapa final'!#REF!="Mayor"),CONCATENATE("R9C",'Mapa final'!#REF!),"")</f>
        <v>#REF!</v>
      </c>
      <c r="AF54" s="99" t="e">
        <f>IF(AND('Mapa final'!#REF!="Muy Baja",'Mapa final'!#REF!="Mayor"),CONCATENATE("R9C",'Mapa final'!#REF!),"")</f>
        <v>#REF!</v>
      </c>
      <c r="AG54" s="100" t="e">
        <f>IF(AND('Mapa final'!#REF!="Muy Baja",'Mapa final'!#REF!="Mayor"),CONCATENATE("R9C",'Mapa final'!#REF!),"")</f>
        <v>#REF!</v>
      </c>
      <c r="AH54" s="114" t="str">
        <f>IF(AND('Mapa final'!$AB$24="Muy Baja",'Mapa final'!$AD$24="Catastrófico"),CONCATENATE("R9C",'Mapa final'!$Q$24),"")</f>
        <v/>
      </c>
      <c r="AI54" s="115" t="str">
        <f>IF(AND('Mapa final'!$AB$25="Muy Baja",'Mapa final'!$AD$25="Catastrófico"),CONCATENATE("R9C",'Mapa final'!$Q$25),"")</f>
        <v/>
      </c>
      <c r="AJ54" s="115" t="str">
        <f>IF(AND('Mapa final'!$AB$26="Muy Baja",'Mapa final'!$AD$26="Catastrófico"),CONCATENATE("R9C",'Mapa final'!$Q$26),"")</f>
        <v/>
      </c>
      <c r="AK54" s="115" t="e">
        <f>IF(AND('Mapa final'!#REF!="Muy Baja",'Mapa final'!#REF!="Catastrófico"),CONCATENATE("R9C",'Mapa final'!#REF!),"")</f>
        <v>#REF!</v>
      </c>
      <c r="AL54" s="115" t="e">
        <f>IF(AND('Mapa final'!#REF!="Muy Baja",'Mapa final'!#REF!="Catastrófico"),CONCATENATE("R9C",'Mapa final'!#REF!),"")</f>
        <v>#REF!</v>
      </c>
      <c r="AM54" s="116" t="e">
        <f>IF(AND('Mapa final'!#REF!="Muy Baja",'Mapa final'!#REF!="Catastrófico"),CONCATENATE("R9C",'Mapa final'!#REF!),"")</f>
        <v>#REF!</v>
      </c>
      <c r="AN54" s="37"/>
      <c r="AO54" s="37"/>
      <c r="AP54" s="37"/>
      <c r="AQ54" s="37"/>
      <c r="AR54" s="37"/>
      <c r="AS54" s="37"/>
      <c r="AT54" s="37"/>
    </row>
    <row r="55" spans="1:46" ht="15.75" customHeight="1" thickBot="1" x14ac:dyDescent="0.3">
      <c r="A55" s="37"/>
      <c r="B55" s="463"/>
      <c r="C55" s="463"/>
      <c r="D55" s="464"/>
      <c r="E55" s="507"/>
      <c r="F55" s="508"/>
      <c r="G55" s="508"/>
      <c r="H55" s="508"/>
      <c r="I55" s="509"/>
      <c r="J55" s="35" t="str">
        <f>IF(AND('Mapa final'!$AB$27="Muy Baja",'Mapa final'!$AD$27="Leve"),CONCATENATE("R10C",'Mapa final'!$Q$27),"")</f>
        <v/>
      </c>
      <c r="K55" s="36" t="str">
        <f>IF(AND('Mapa final'!$AB$28="Muy Baja",'Mapa final'!$AD$28="Leve"),CONCATENATE("R10C",'Mapa final'!$Q$28),"")</f>
        <v>R10C2</v>
      </c>
      <c r="L55" s="93" t="str">
        <f>IF(AND('Mapa final'!$AB$29="Muy Baja",'Mapa final'!$AD$29="Leve"),CONCATENATE("R10C",'Mapa final'!$Q$29),"")</f>
        <v>R10C3</v>
      </c>
      <c r="M55" s="93" t="e">
        <f>IF(AND('Mapa final'!#REF!="Muy Baja",'Mapa final'!#REF!="Leve"),CONCATENATE("R10C",'Mapa final'!#REF!),"")</f>
        <v>#REF!</v>
      </c>
      <c r="N55" s="93" t="e">
        <f>IF(AND('Mapa final'!#REF!="Muy Baja",'Mapa final'!#REF!="Leve"),CONCATENATE("R10C",'Mapa final'!#REF!),"")</f>
        <v>#REF!</v>
      </c>
      <c r="O55" s="94" t="e">
        <f>IF(AND('Mapa final'!#REF!="Muy Baja",'Mapa final'!#REF!="Leve"),CONCATENATE("R10C",'Mapa final'!#REF!),"")</f>
        <v>#REF!</v>
      </c>
      <c r="P55" s="92" t="str">
        <f>IF(AND('Mapa final'!$AB$27="Muy Baja",'Mapa final'!$AD$27="Menor"),CONCATENATE("R10C",'Mapa final'!$Q$27),"")</f>
        <v/>
      </c>
      <c r="Q55" s="93" t="str">
        <f>IF(AND('Mapa final'!$AB$28="Muy Baja",'Mapa final'!$AD$28="Menor"),CONCATENATE("R10C",'Mapa final'!$Q$28),"")</f>
        <v/>
      </c>
      <c r="R55" s="93" t="str">
        <f>IF(AND('Mapa final'!$AB$29="Muy Baja",'Mapa final'!$AD$29="Menor"),CONCATENATE("R10C",'Mapa final'!$Q$29),"")</f>
        <v/>
      </c>
      <c r="S55" s="93" t="e">
        <f>IF(AND('Mapa final'!#REF!="Muy Baja",'Mapa final'!#REF!="Menor"),CONCATENATE("R10C",'Mapa final'!#REF!),"")</f>
        <v>#REF!</v>
      </c>
      <c r="T55" s="93" t="e">
        <f>IF(AND('Mapa final'!#REF!="Muy Baja",'Mapa final'!#REF!="Menor"),CONCATENATE("R10C",'Mapa final'!#REF!),"")</f>
        <v>#REF!</v>
      </c>
      <c r="U55" s="94" t="e">
        <f>IF(AND('Mapa final'!#REF!="Muy Baja",'Mapa final'!#REF!="Menor"),CONCATENATE("R10C",'Mapa final'!#REF!),"")</f>
        <v>#REF!</v>
      </c>
      <c r="V55" s="34" t="str">
        <f>IF(AND('Mapa final'!$AB$27="Muy Baja",'Mapa final'!$AD$27="Moderado"),CONCATENATE("R10C",'Mapa final'!$Q$27),"")</f>
        <v/>
      </c>
      <c r="W55" s="109" t="str">
        <f>IF(AND('Mapa final'!$AB$28="Muy Baja",'Mapa final'!$AD$28="Moderado"),CONCATENATE("R10C",'Mapa final'!$Q$28),"")</f>
        <v/>
      </c>
      <c r="X55" s="109" t="str">
        <f>IF(AND('Mapa final'!$AB$29="Muy Baja",'Mapa final'!$AD$29="Moderado"),CONCATENATE("R10C",'Mapa final'!$Q$29),"")</f>
        <v/>
      </c>
      <c r="Y55" s="109" t="e">
        <f>IF(AND('Mapa final'!#REF!="Muy Baja",'Mapa final'!#REF!="Moderado"),CONCATENATE("R10C",'Mapa final'!#REF!),"")</f>
        <v>#REF!</v>
      </c>
      <c r="Z55" s="109" t="e">
        <f>IF(AND('Mapa final'!#REF!="Muy Baja",'Mapa final'!#REF!="Moderado"),CONCATENATE("R10C",'Mapa final'!#REF!),"")</f>
        <v>#REF!</v>
      </c>
      <c r="AA55" s="110" t="e">
        <f>IF(AND('Mapa final'!#REF!="Muy Baja",'Mapa final'!#REF!="Moderado"),CONCATENATE("R10C",'Mapa final'!#REF!),"")</f>
        <v>#REF!</v>
      </c>
      <c r="AB55" s="101" t="str">
        <f>IF(AND('Mapa final'!$AB$27="Muy Baja",'Mapa final'!$AD$27="Mayor"),CONCATENATE("R10C",'Mapa final'!$Q$27),"")</f>
        <v/>
      </c>
      <c r="AC55" s="102" t="str">
        <f>IF(AND('Mapa final'!$AB$28="Muy Baja",'Mapa final'!$AD$28="Mayor"),CONCATENATE("R10C",'Mapa final'!$Q$28),"")</f>
        <v/>
      </c>
      <c r="AD55" s="102" t="str">
        <f>IF(AND('Mapa final'!$AB$29="Muy Baja",'Mapa final'!$AD$29="Mayor"),CONCATENATE("R10C",'Mapa final'!$Q$29),"")</f>
        <v/>
      </c>
      <c r="AE55" s="102" t="e">
        <f>IF(AND('Mapa final'!#REF!="Muy Baja",'Mapa final'!#REF!="Mayor"),CONCATENATE("R10C",'Mapa final'!#REF!),"")</f>
        <v>#REF!</v>
      </c>
      <c r="AF55" s="102" t="e">
        <f>IF(AND('Mapa final'!#REF!="Muy Baja",'Mapa final'!#REF!="Mayor"),CONCATENATE("R10C",'Mapa final'!#REF!),"")</f>
        <v>#REF!</v>
      </c>
      <c r="AG55" s="103" t="e">
        <f>IF(AND('Mapa final'!#REF!="Muy Baja",'Mapa final'!#REF!="Mayor"),CONCATENATE("R10C",'Mapa final'!#REF!),"")</f>
        <v>#REF!</v>
      </c>
      <c r="AH55" s="117" t="str">
        <f>IF(AND('Mapa final'!$AB$27="Muy Baja",'Mapa final'!$AD$27="Catastrófico"),CONCATENATE("R10C",'Mapa final'!$Q$27),"")</f>
        <v/>
      </c>
      <c r="AI55" s="118" t="str">
        <f>IF(AND('Mapa final'!$AB$28="Muy Baja",'Mapa final'!$AD$28="Catastrófico"),CONCATENATE("R10C",'Mapa final'!$Q$28),"")</f>
        <v/>
      </c>
      <c r="AJ55" s="118" t="str">
        <f>IF(AND('Mapa final'!$AB$29="Muy Baja",'Mapa final'!$AD$29="Catastrófico"),CONCATENATE("R10C",'Mapa final'!$Q$29),"")</f>
        <v/>
      </c>
      <c r="AK55" s="118" t="e">
        <f>IF(AND('Mapa final'!#REF!="Muy Baja",'Mapa final'!#REF!="Catastrófico"),CONCATENATE("R10C",'Mapa final'!#REF!),"")</f>
        <v>#REF!</v>
      </c>
      <c r="AL55" s="118" t="e">
        <f>IF(AND('Mapa final'!#REF!="Muy Baja",'Mapa final'!#REF!="Catastrófico"),CONCATENATE("R10C",'Mapa final'!#REF!),"")</f>
        <v>#REF!</v>
      </c>
      <c r="AM55" s="119" t="e">
        <f>IF(AND('Mapa final'!#REF!="Muy Baja",'Mapa final'!#REF!="Catastrófico"),CONCATENATE("R10C",'Mapa final'!#REF!),"")</f>
        <v>#REF!</v>
      </c>
      <c r="AN55" s="37"/>
      <c r="AO55" s="37"/>
      <c r="AP55" s="37"/>
      <c r="AQ55" s="37"/>
      <c r="AR55" s="37"/>
      <c r="AS55" s="37"/>
      <c r="AT55" s="37"/>
    </row>
    <row r="56" spans="1:46" x14ac:dyDescent="0.25">
      <c r="A56" s="37"/>
      <c r="B56" s="37"/>
      <c r="C56" s="37"/>
      <c r="D56" s="37"/>
      <c r="E56" s="37"/>
      <c r="F56" s="37"/>
      <c r="G56" s="37"/>
      <c r="H56" s="37"/>
      <c r="I56" s="37"/>
      <c r="J56" s="501" t="s">
        <v>112</v>
      </c>
      <c r="K56" s="502"/>
      <c r="L56" s="502"/>
      <c r="M56" s="502"/>
      <c r="N56" s="502"/>
      <c r="O56" s="503"/>
      <c r="P56" s="501" t="s">
        <v>111</v>
      </c>
      <c r="Q56" s="502"/>
      <c r="R56" s="502"/>
      <c r="S56" s="502"/>
      <c r="T56" s="502"/>
      <c r="U56" s="503"/>
      <c r="V56" s="501" t="s">
        <v>110</v>
      </c>
      <c r="W56" s="502"/>
      <c r="X56" s="502"/>
      <c r="Y56" s="502"/>
      <c r="Z56" s="502"/>
      <c r="AA56" s="503"/>
      <c r="AB56" s="501" t="s">
        <v>109</v>
      </c>
      <c r="AC56" s="510"/>
      <c r="AD56" s="502"/>
      <c r="AE56" s="502"/>
      <c r="AF56" s="502"/>
      <c r="AG56" s="503"/>
      <c r="AH56" s="501" t="s">
        <v>108</v>
      </c>
      <c r="AI56" s="502"/>
      <c r="AJ56" s="502"/>
      <c r="AK56" s="502"/>
      <c r="AL56" s="502"/>
      <c r="AM56" s="503"/>
      <c r="AN56" s="37"/>
      <c r="AO56" s="37"/>
      <c r="AP56" s="37"/>
      <c r="AQ56" s="37"/>
      <c r="AR56" s="37"/>
      <c r="AS56" s="37"/>
      <c r="AT56" s="37"/>
    </row>
    <row r="57" spans="1:46" x14ac:dyDescent="0.25">
      <c r="A57" s="37"/>
      <c r="B57" s="37"/>
      <c r="C57" s="37"/>
      <c r="D57" s="37"/>
      <c r="E57" s="37"/>
      <c r="F57" s="37"/>
      <c r="G57" s="37"/>
      <c r="H57" s="37"/>
      <c r="I57" s="37"/>
      <c r="J57" s="504"/>
      <c r="K57" s="505"/>
      <c r="L57" s="505"/>
      <c r="M57" s="505"/>
      <c r="N57" s="505"/>
      <c r="O57" s="506"/>
      <c r="P57" s="504"/>
      <c r="Q57" s="505"/>
      <c r="R57" s="505"/>
      <c r="S57" s="505"/>
      <c r="T57" s="505"/>
      <c r="U57" s="506"/>
      <c r="V57" s="504"/>
      <c r="W57" s="505"/>
      <c r="X57" s="505"/>
      <c r="Y57" s="505"/>
      <c r="Z57" s="505"/>
      <c r="AA57" s="506"/>
      <c r="AB57" s="504"/>
      <c r="AC57" s="505"/>
      <c r="AD57" s="505"/>
      <c r="AE57" s="505"/>
      <c r="AF57" s="505"/>
      <c r="AG57" s="506"/>
      <c r="AH57" s="504"/>
      <c r="AI57" s="505"/>
      <c r="AJ57" s="505"/>
      <c r="AK57" s="505"/>
      <c r="AL57" s="505"/>
      <c r="AM57" s="506"/>
      <c r="AN57" s="37"/>
      <c r="AO57" s="37"/>
      <c r="AP57" s="37"/>
      <c r="AQ57" s="37"/>
      <c r="AR57" s="37"/>
      <c r="AS57" s="37"/>
      <c r="AT57" s="37"/>
    </row>
    <row r="58" spans="1:46" x14ac:dyDescent="0.25">
      <c r="A58" s="37"/>
      <c r="B58" s="37"/>
      <c r="C58" s="37"/>
      <c r="D58" s="37"/>
      <c r="E58" s="37"/>
      <c r="F58" s="37"/>
      <c r="G58" s="37"/>
      <c r="H58" s="37"/>
      <c r="I58" s="37"/>
      <c r="J58" s="504"/>
      <c r="K58" s="505"/>
      <c r="L58" s="505"/>
      <c r="M58" s="505"/>
      <c r="N58" s="505"/>
      <c r="O58" s="506"/>
      <c r="P58" s="504"/>
      <c r="Q58" s="505"/>
      <c r="R58" s="505"/>
      <c r="S58" s="505"/>
      <c r="T58" s="505"/>
      <c r="U58" s="506"/>
      <c r="V58" s="504"/>
      <c r="W58" s="505"/>
      <c r="X58" s="505"/>
      <c r="Y58" s="505"/>
      <c r="Z58" s="505"/>
      <c r="AA58" s="506"/>
      <c r="AB58" s="504"/>
      <c r="AC58" s="505"/>
      <c r="AD58" s="505"/>
      <c r="AE58" s="505"/>
      <c r="AF58" s="505"/>
      <c r="AG58" s="506"/>
      <c r="AH58" s="504"/>
      <c r="AI58" s="505"/>
      <c r="AJ58" s="505"/>
      <c r="AK58" s="505"/>
      <c r="AL58" s="505"/>
      <c r="AM58" s="506"/>
      <c r="AN58" s="37"/>
      <c r="AO58" s="37"/>
      <c r="AP58" s="37"/>
      <c r="AQ58" s="37"/>
      <c r="AR58" s="37"/>
      <c r="AS58" s="37"/>
      <c r="AT58" s="37"/>
    </row>
    <row r="59" spans="1:46" x14ac:dyDescent="0.25">
      <c r="A59" s="37"/>
      <c r="B59" s="37"/>
      <c r="C59" s="37"/>
      <c r="D59" s="37"/>
      <c r="E59" s="37"/>
      <c r="F59" s="37"/>
      <c r="G59" s="37"/>
      <c r="H59" s="37"/>
      <c r="I59" s="37"/>
      <c r="J59" s="504"/>
      <c r="K59" s="505"/>
      <c r="L59" s="505"/>
      <c r="M59" s="505"/>
      <c r="N59" s="505"/>
      <c r="O59" s="506"/>
      <c r="P59" s="504"/>
      <c r="Q59" s="505"/>
      <c r="R59" s="505"/>
      <c r="S59" s="505"/>
      <c r="T59" s="505"/>
      <c r="U59" s="506"/>
      <c r="V59" s="504"/>
      <c r="W59" s="505"/>
      <c r="X59" s="505"/>
      <c r="Y59" s="505"/>
      <c r="Z59" s="505"/>
      <c r="AA59" s="506"/>
      <c r="AB59" s="504"/>
      <c r="AC59" s="505"/>
      <c r="AD59" s="505"/>
      <c r="AE59" s="505"/>
      <c r="AF59" s="505"/>
      <c r="AG59" s="506"/>
      <c r="AH59" s="504"/>
      <c r="AI59" s="505"/>
      <c r="AJ59" s="505"/>
      <c r="AK59" s="505"/>
      <c r="AL59" s="505"/>
      <c r="AM59" s="506"/>
      <c r="AN59" s="37"/>
      <c r="AO59" s="37"/>
      <c r="AP59" s="37"/>
      <c r="AQ59" s="37"/>
      <c r="AR59" s="37"/>
      <c r="AS59" s="37"/>
      <c r="AT59" s="37"/>
    </row>
    <row r="60" spans="1:46" x14ac:dyDescent="0.25">
      <c r="A60" s="37"/>
      <c r="B60" s="37"/>
      <c r="C60" s="37"/>
      <c r="D60" s="37"/>
      <c r="E60" s="37"/>
      <c r="F60" s="37"/>
      <c r="G60" s="37"/>
      <c r="H60" s="37"/>
      <c r="I60" s="37"/>
      <c r="J60" s="504"/>
      <c r="K60" s="505"/>
      <c r="L60" s="505"/>
      <c r="M60" s="505"/>
      <c r="N60" s="505"/>
      <c r="O60" s="506"/>
      <c r="P60" s="504"/>
      <c r="Q60" s="505"/>
      <c r="R60" s="505"/>
      <c r="S60" s="505"/>
      <c r="T60" s="505"/>
      <c r="U60" s="506"/>
      <c r="V60" s="504"/>
      <c r="W60" s="505"/>
      <c r="X60" s="505"/>
      <c r="Y60" s="505"/>
      <c r="Z60" s="505"/>
      <c r="AA60" s="506"/>
      <c r="AB60" s="504"/>
      <c r="AC60" s="505"/>
      <c r="AD60" s="505"/>
      <c r="AE60" s="505"/>
      <c r="AF60" s="505"/>
      <c r="AG60" s="506"/>
      <c r="AH60" s="504"/>
      <c r="AI60" s="505"/>
      <c r="AJ60" s="505"/>
      <c r="AK60" s="505"/>
      <c r="AL60" s="505"/>
      <c r="AM60" s="506"/>
      <c r="AN60" s="37"/>
      <c r="AO60" s="37"/>
      <c r="AP60" s="37"/>
      <c r="AQ60" s="37"/>
      <c r="AR60" s="37"/>
      <c r="AS60" s="37"/>
      <c r="AT60" s="37"/>
    </row>
    <row r="61" spans="1:46" ht="15.75" thickBot="1" x14ac:dyDescent="0.3">
      <c r="A61" s="37"/>
      <c r="B61" s="37"/>
      <c r="C61" s="37"/>
      <c r="D61" s="37"/>
      <c r="E61" s="37"/>
      <c r="F61" s="37"/>
      <c r="G61" s="37"/>
      <c r="H61" s="37"/>
      <c r="I61" s="37"/>
      <c r="J61" s="507"/>
      <c r="K61" s="508"/>
      <c r="L61" s="508"/>
      <c r="M61" s="508"/>
      <c r="N61" s="508"/>
      <c r="O61" s="509"/>
      <c r="P61" s="507"/>
      <c r="Q61" s="508"/>
      <c r="R61" s="508"/>
      <c r="S61" s="508"/>
      <c r="T61" s="508"/>
      <c r="U61" s="509"/>
      <c r="V61" s="507"/>
      <c r="W61" s="508"/>
      <c r="X61" s="508"/>
      <c r="Y61" s="508"/>
      <c r="Z61" s="508"/>
      <c r="AA61" s="509"/>
      <c r="AB61" s="507"/>
      <c r="AC61" s="508"/>
      <c r="AD61" s="508"/>
      <c r="AE61" s="508"/>
      <c r="AF61" s="508"/>
      <c r="AG61" s="509"/>
      <c r="AH61" s="507"/>
      <c r="AI61" s="508"/>
      <c r="AJ61" s="508"/>
      <c r="AK61" s="508"/>
      <c r="AL61" s="508"/>
      <c r="AM61" s="509"/>
      <c r="AN61" s="37"/>
      <c r="AO61" s="37"/>
      <c r="AP61" s="37"/>
      <c r="AQ61" s="37"/>
      <c r="AR61" s="37"/>
      <c r="AS61" s="37"/>
      <c r="AT61" s="37"/>
    </row>
    <row r="62" spans="1:46" x14ac:dyDescent="0.2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row>
    <row r="63" spans="1:46" ht="15" customHeight="1" x14ac:dyDescent="0.25">
      <c r="A63" s="37"/>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row>
    <row r="64" spans="1:46" ht="15" customHeight="1" x14ac:dyDescent="0.25">
      <c r="A64" s="37"/>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row>
    <row r="65" spans="1:46" x14ac:dyDescent="0.2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row>
    <row r="66" spans="1:46" x14ac:dyDescent="0.2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row>
    <row r="67" spans="1:46" x14ac:dyDescent="0.2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row>
    <row r="68" spans="1:46" x14ac:dyDescent="0.2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row>
    <row r="69" spans="1:46" x14ac:dyDescent="0.2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row>
    <row r="70" spans="1:46" x14ac:dyDescent="0.2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row>
    <row r="71" spans="1:46" x14ac:dyDescent="0.2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row>
    <row r="72" spans="1:46" x14ac:dyDescent="0.2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row>
    <row r="73" spans="1:46" x14ac:dyDescent="0.2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row>
    <row r="74" spans="1:46" x14ac:dyDescent="0.2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row>
    <row r="75" spans="1:46" x14ac:dyDescent="0.2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row>
    <row r="76" spans="1:46" x14ac:dyDescent="0.2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row>
    <row r="77" spans="1:46" x14ac:dyDescent="0.2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row>
    <row r="78" spans="1:46" x14ac:dyDescent="0.2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row>
    <row r="79" spans="1:46" x14ac:dyDescent="0.2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row>
    <row r="80" spans="1:46" x14ac:dyDescent="0.2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row>
    <row r="81" spans="1:46" x14ac:dyDescent="0.2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row>
    <row r="82" spans="1:46" x14ac:dyDescent="0.2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row>
    <row r="83" spans="1:46" x14ac:dyDescent="0.2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row>
    <row r="84" spans="1:46" x14ac:dyDescent="0.2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row>
    <row r="85" spans="1:46" x14ac:dyDescent="0.2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row>
    <row r="86" spans="1:46" x14ac:dyDescent="0.2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row>
    <row r="87" spans="1:46" x14ac:dyDescent="0.2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row>
    <row r="88" spans="1:46" x14ac:dyDescent="0.2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row>
    <row r="89" spans="1:46" x14ac:dyDescent="0.2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row>
    <row r="90" spans="1:46" x14ac:dyDescent="0.2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row>
    <row r="91" spans="1:46" x14ac:dyDescent="0.2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row>
    <row r="92" spans="1:46" x14ac:dyDescent="0.2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row>
    <row r="93" spans="1:46" x14ac:dyDescent="0.2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row>
    <row r="94" spans="1:46" x14ac:dyDescent="0.2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row>
    <row r="95" spans="1:46" x14ac:dyDescent="0.2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row>
    <row r="96" spans="1:46" x14ac:dyDescent="0.2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row>
    <row r="97" spans="1:46" x14ac:dyDescent="0.2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row>
    <row r="98" spans="1:46" x14ac:dyDescent="0.2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row>
    <row r="99" spans="1:46" x14ac:dyDescent="0.2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row>
    <row r="100" spans="1:46" x14ac:dyDescent="0.2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row>
    <row r="101" spans="1:46" x14ac:dyDescent="0.2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row>
    <row r="102" spans="1:46" x14ac:dyDescent="0.2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row>
    <row r="103" spans="1:46" x14ac:dyDescent="0.2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row>
    <row r="104" spans="1:46" x14ac:dyDescent="0.2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row>
    <row r="105" spans="1:46" x14ac:dyDescent="0.2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row>
    <row r="106" spans="1:46" x14ac:dyDescent="0.2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row>
    <row r="107" spans="1:46" x14ac:dyDescent="0.2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row>
    <row r="108" spans="1:46" x14ac:dyDescent="0.2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row>
    <row r="109" spans="1:46" x14ac:dyDescent="0.2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row>
    <row r="110" spans="1:46" x14ac:dyDescent="0.2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row>
    <row r="111" spans="1:46" x14ac:dyDescent="0.2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row>
    <row r="112" spans="1:46" x14ac:dyDescent="0.2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row>
    <row r="113" spans="1:46" x14ac:dyDescent="0.2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row>
    <row r="114" spans="1:46" x14ac:dyDescent="0.2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row>
    <row r="115" spans="1:46" x14ac:dyDescent="0.2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row>
    <row r="116" spans="1:46" x14ac:dyDescent="0.2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row>
    <row r="117" spans="1:46" x14ac:dyDescent="0.2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row>
    <row r="118" spans="1:46" x14ac:dyDescent="0.2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row>
    <row r="119" spans="1:46" x14ac:dyDescent="0.2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row>
    <row r="120" spans="1:46" x14ac:dyDescent="0.2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row>
    <row r="121" spans="1:46" x14ac:dyDescent="0.2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row>
    <row r="122" spans="1:46" x14ac:dyDescent="0.2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row>
    <row r="123" spans="1:46" x14ac:dyDescent="0.2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row>
    <row r="124" spans="1:46" x14ac:dyDescent="0.2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row>
    <row r="125" spans="1:46" x14ac:dyDescent="0.2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row>
    <row r="126" spans="1:46" x14ac:dyDescent="0.2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row>
    <row r="127" spans="1:46" x14ac:dyDescent="0.2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row>
    <row r="128" spans="1:46" x14ac:dyDescent="0.2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row>
    <row r="129" spans="1:46" x14ac:dyDescent="0.2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row>
    <row r="130" spans="1:46" x14ac:dyDescent="0.2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row>
    <row r="131" spans="1:46" x14ac:dyDescent="0.2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row>
    <row r="132" spans="1:46" x14ac:dyDescent="0.2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row>
    <row r="133" spans="1:46" x14ac:dyDescent="0.2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row>
    <row r="134" spans="1:46" x14ac:dyDescent="0.2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row>
    <row r="135" spans="1:46" x14ac:dyDescent="0.2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row>
    <row r="136" spans="1:46" x14ac:dyDescent="0.2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row>
    <row r="137" spans="1:46" x14ac:dyDescent="0.2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row>
    <row r="138" spans="1:46" x14ac:dyDescent="0.2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row>
    <row r="139" spans="1:46" x14ac:dyDescent="0.2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row>
    <row r="140" spans="1:46" x14ac:dyDescent="0.2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row>
    <row r="141" spans="1:46" x14ac:dyDescent="0.2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row>
    <row r="142" spans="1:46" x14ac:dyDescent="0.2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row>
    <row r="143" spans="1:46" x14ac:dyDescent="0.2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row>
    <row r="144" spans="1:46" x14ac:dyDescent="0.2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row>
    <row r="145" spans="1:46" x14ac:dyDescent="0.2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row>
    <row r="146" spans="1:46" x14ac:dyDescent="0.2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row>
    <row r="147" spans="1:46" x14ac:dyDescent="0.2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row>
    <row r="148" spans="1:46" x14ac:dyDescent="0.2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row>
    <row r="149" spans="1:46" x14ac:dyDescent="0.2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row>
    <row r="150" spans="1:46" x14ac:dyDescent="0.2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row>
    <row r="151" spans="1:46" x14ac:dyDescent="0.2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row>
    <row r="152" spans="1:46" x14ac:dyDescent="0.2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row>
    <row r="153" spans="1:46" x14ac:dyDescent="0.2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row>
    <row r="154" spans="1:46" x14ac:dyDescent="0.2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row>
    <row r="155" spans="1:46" x14ac:dyDescent="0.2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row>
    <row r="156" spans="1:46" x14ac:dyDescent="0.2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row>
    <row r="157" spans="1:46" x14ac:dyDescent="0.2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row>
    <row r="158" spans="1:46" x14ac:dyDescent="0.2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row>
    <row r="159" spans="1:46" x14ac:dyDescent="0.2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row>
    <row r="160" spans="1:46" x14ac:dyDescent="0.2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row>
    <row r="161" spans="1:46" x14ac:dyDescent="0.2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row>
    <row r="162" spans="1:46" x14ac:dyDescent="0.2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row>
    <row r="163" spans="1:46" x14ac:dyDescent="0.2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row>
    <row r="164" spans="1:46" x14ac:dyDescent="0.2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row>
    <row r="165" spans="1:46" x14ac:dyDescent="0.2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row>
    <row r="166" spans="1:46" x14ac:dyDescent="0.2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row>
    <row r="167" spans="1:46" x14ac:dyDescent="0.2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row>
    <row r="168" spans="1:46" x14ac:dyDescent="0.2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row>
    <row r="169" spans="1:46" x14ac:dyDescent="0.2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row>
    <row r="170" spans="1:46" x14ac:dyDescent="0.2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row>
    <row r="171" spans="1:46" x14ac:dyDescent="0.2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row>
    <row r="172" spans="1:46" x14ac:dyDescent="0.2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row>
    <row r="173" spans="1:46" x14ac:dyDescent="0.2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row>
    <row r="174" spans="1:46" x14ac:dyDescent="0.2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row>
    <row r="175" spans="1:46" x14ac:dyDescent="0.2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row>
    <row r="176" spans="1:46" x14ac:dyDescent="0.2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row>
    <row r="177" spans="1:46" x14ac:dyDescent="0.2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row>
    <row r="178" spans="1:46" x14ac:dyDescent="0.2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row>
    <row r="179" spans="1:46" x14ac:dyDescent="0.2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row>
    <row r="180" spans="1:46" x14ac:dyDescent="0.2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row>
    <row r="181" spans="1:46" x14ac:dyDescent="0.2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row>
    <row r="182" spans="1:46" x14ac:dyDescent="0.2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row>
    <row r="183" spans="1:46" x14ac:dyDescent="0.2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row>
    <row r="184" spans="1:46" x14ac:dyDescent="0.2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row>
    <row r="185" spans="1:46" x14ac:dyDescent="0.2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row>
    <row r="186" spans="1:46" x14ac:dyDescent="0.2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row>
    <row r="187" spans="1:46" x14ac:dyDescent="0.2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row>
    <row r="188" spans="1:46" x14ac:dyDescent="0.2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row>
    <row r="189" spans="1:46" x14ac:dyDescent="0.2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row>
    <row r="190" spans="1:46" x14ac:dyDescent="0.2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row>
    <row r="191" spans="1:46" x14ac:dyDescent="0.25">
      <c r="A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row>
    <row r="192" spans="1:46" x14ac:dyDescent="0.25">
      <c r="A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row>
    <row r="193" spans="1:46" x14ac:dyDescent="0.25">
      <c r="A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row>
    <row r="194" spans="1:46" x14ac:dyDescent="0.25">
      <c r="A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row>
    <row r="195" spans="1:46" x14ac:dyDescent="0.25">
      <c r="A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row>
    <row r="196" spans="1:46" x14ac:dyDescent="0.25">
      <c r="A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row>
    <row r="197" spans="1:46" x14ac:dyDescent="0.25">
      <c r="A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row>
    <row r="198" spans="1:46" x14ac:dyDescent="0.25">
      <c r="A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row>
    <row r="199" spans="1:46" x14ac:dyDescent="0.25">
      <c r="A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row>
    <row r="200" spans="1:46" x14ac:dyDescent="0.25">
      <c r="A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row>
    <row r="201" spans="1:46" x14ac:dyDescent="0.25">
      <c r="A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row>
    <row r="202" spans="1:46" x14ac:dyDescent="0.25">
      <c r="A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row>
    <row r="203" spans="1:46" x14ac:dyDescent="0.25">
      <c r="A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row>
    <row r="204" spans="1:46" x14ac:dyDescent="0.25">
      <c r="A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row>
    <row r="205" spans="1:46" x14ac:dyDescent="0.25">
      <c r="A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row>
    <row r="206" spans="1:46" x14ac:dyDescent="0.25">
      <c r="A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row>
    <row r="207" spans="1:46" x14ac:dyDescent="0.25">
      <c r="A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row>
    <row r="208" spans="1:46" x14ac:dyDescent="0.25">
      <c r="A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row>
    <row r="209" spans="1:46" x14ac:dyDescent="0.25">
      <c r="A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row>
    <row r="210" spans="1:46" x14ac:dyDescent="0.25">
      <c r="A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row>
    <row r="211" spans="1:46" x14ac:dyDescent="0.25">
      <c r="A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7"/>
      <c r="AR211" s="37"/>
      <c r="AS211" s="37"/>
      <c r="AT211" s="37"/>
    </row>
    <row r="212" spans="1:46" x14ac:dyDescent="0.25">
      <c r="A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7"/>
      <c r="AR212" s="37"/>
      <c r="AS212" s="37"/>
      <c r="AT212" s="37"/>
    </row>
    <row r="213" spans="1:46" x14ac:dyDescent="0.25">
      <c r="A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7"/>
      <c r="AR213" s="37"/>
      <c r="AS213" s="37"/>
      <c r="AT213" s="37"/>
    </row>
    <row r="214" spans="1:46" x14ac:dyDescent="0.25">
      <c r="A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c r="AQ214" s="37"/>
      <c r="AR214" s="37"/>
      <c r="AS214" s="37"/>
      <c r="AT214" s="37"/>
    </row>
    <row r="215" spans="1:46" x14ac:dyDescent="0.25">
      <c r="A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7"/>
      <c r="AR215" s="37"/>
      <c r="AS215" s="37"/>
      <c r="AT215" s="37"/>
    </row>
    <row r="216" spans="1:46" x14ac:dyDescent="0.25">
      <c r="A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7"/>
      <c r="AR216" s="37"/>
      <c r="AS216" s="37"/>
      <c r="AT216" s="37"/>
    </row>
    <row r="217" spans="1:46" x14ac:dyDescent="0.25">
      <c r="A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c r="AS217" s="37"/>
      <c r="AT217" s="37"/>
    </row>
    <row r="218" spans="1:46" x14ac:dyDescent="0.25">
      <c r="A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c r="AQ218" s="37"/>
      <c r="AR218" s="37"/>
      <c r="AS218" s="37"/>
      <c r="AT218" s="37"/>
    </row>
    <row r="219" spans="1:46" x14ac:dyDescent="0.25">
      <c r="A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7"/>
      <c r="AR219" s="37"/>
      <c r="AS219" s="37"/>
      <c r="AT219" s="37"/>
    </row>
    <row r="220" spans="1:46" x14ac:dyDescent="0.25">
      <c r="A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7"/>
      <c r="AS220" s="37"/>
      <c r="AT220" s="37"/>
    </row>
    <row r="221" spans="1:46" x14ac:dyDescent="0.25">
      <c r="A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c r="AR221" s="37"/>
      <c r="AS221" s="37"/>
      <c r="AT221" s="37"/>
    </row>
    <row r="222" spans="1:46" x14ac:dyDescent="0.25">
      <c r="A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7"/>
      <c r="AR222" s="37"/>
      <c r="AS222" s="37"/>
      <c r="AT222" s="37"/>
    </row>
    <row r="223" spans="1:46" x14ac:dyDescent="0.25">
      <c r="A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row>
    <row r="224" spans="1:46" x14ac:dyDescent="0.25">
      <c r="A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7"/>
      <c r="AR224" s="37"/>
      <c r="AS224" s="37"/>
      <c r="AT224" s="37"/>
    </row>
    <row r="225" spans="1:46" x14ac:dyDescent="0.25">
      <c r="A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7"/>
      <c r="AR225" s="37"/>
      <c r="AS225" s="37"/>
      <c r="AT225" s="37"/>
    </row>
    <row r="226" spans="1:46" x14ac:dyDescent="0.25">
      <c r="A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7"/>
      <c r="AR226" s="37"/>
      <c r="AS226" s="37"/>
      <c r="AT226" s="37"/>
    </row>
    <row r="227" spans="1:46" x14ac:dyDescent="0.25">
      <c r="A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row>
    <row r="228" spans="1:46" x14ac:dyDescent="0.25">
      <c r="A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row>
    <row r="229" spans="1:46" x14ac:dyDescent="0.25">
      <c r="A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row>
    <row r="230" spans="1:46" x14ac:dyDescent="0.25">
      <c r="A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row>
    <row r="231" spans="1:46" x14ac:dyDescent="0.25">
      <c r="A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row>
    <row r="232" spans="1:46" x14ac:dyDescent="0.25">
      <c r="A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row>
    <row r="233" spans="1:46" x14ac:dyDescent="0.25">
      <c r="A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row>
    <row r="234" spans="1:46" x14ac:dyDescent="0.25">
      <c r="A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row>
    <row r="235" spans="1:46" x14ac:dyDescent="0.25">
      <c r="A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c r="AS235" s="37"/>
      <c r="AT235" s="37"/>
    </row>
    <row r="236" spans="1:46" x14ac:dyDescent="0.25">
      <c r="A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row>
    <row r="237" spans="1:46" x14ac:dyDescent="0.25">
      <c r="A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7"/>
      <c r="AR237" s="37"/>
      <c r="AS237" s="37"/>
      <c r="AT237" s="37"/>
    </row>
    <row r="238" spans="1:46" x14ac:dyDescent="0.25">
      <c r="A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row>
    <row r="239" spans="1:46" x14ac:dyDescent="0.25">
      <c r="A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c r="AR239" s="37"/>
      <c r="AS239" s="37"/>
      <c r="AT239" s="37"/>
    </row>
    <row r="240" spans="1:46" x14ac:dyDescent="0.25">
      <c r="A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c r="AQ240" s="37"/>
      <c r="AR240" s="37"/>
      <c r="AS240" s="37"/>
      <c r="AT240" s="37"/>
    </row>
    <row r="241" spans="1:46" x14ac:dyDescent="0.25">
      <c r="A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c r="AQ241" s="37"/>
      <c r="AR241" s="37"/>
      <c r="AS241" s="37"/>
      <c r="AT241" s="37"/>
    </row>
    <row r="242" spans="1:46" x14ac:dyDescent="0.25">
      <c r="A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37"/>
      <c r="AS242" s="37"/>
      <c r="AT242" s="37"/>
    </row>
    <row r="243" spans="1:46" x14ac:dyDescent="0.25">
      <c r="A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7"/>
      <c r="AS243" s="37"/>
      <c r="AT243" s="37"/>
    </row>
    <row r="244" spans="1:46" x14ac:dyDescent="0.25">
      <c r="A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7"/>
      <c r="AS244" s="37"/>
      <c r="AT244" s="37"/>
    </row>
    <row r="245" spans="1:46" x14ac:dyDescent="0.25">
      <c r="A245" s="37"/>
    </row>
    <row r="246" spans="1:46" x14ac:dyDescent="0.25">
      <c r="A246" s="37"/>
    </row>
    <row r="247" spans="1:46" x14ac:dyDescent="0.25">
      <c r="A247" s="37"/>
    </row>
    <row r="248" spans="1:46" x14ac:dyDescent="0.25">
      <c r="A248" s="37"/>
    </row>
  </sheetData>
  <sheetProtection algorithmName="SHA-512" hashValue="KhcGuhiT5T/Zj4WmGoSbzJkfn0O3iV5+F0YKJm4lGJHfULk9QqSObG4aoeOe6jBaIa1F9qA+14Yv+R2oS6RUtw==" saltValue="cmfUzsQCCFpjGeCMhnRqOg=="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B8" sqref="B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37"/>
      <c r="B1" s="550" t="s">
        <v>55</v>
      </c>
      <c r="C1" s="550"/>
      <c r="D1" s="550"/>
      <c r="E1" s="37"/>
      <c r="F1" s="37"/>
      <c r="G1" s="37"/>
      <c r="H1" s="37"/>
      <c r="I1" s="37"/>
      <c r="J1" s="37"/>
      <c r="K1" s="37"/>
      <c r="L1" s="37"/>
      <c r="M1" s="37"/>
      <c r="N1" s="37"/>
      <c r="O1" s="37"/>
      <c r="P1" s="37"/>
      <c r="Q1" s="37"/>
      <c r="R1" s="37"/>
      <c r="S1" s="37"/>
      <c r="T1" s="37"/>
      <c r="U1" s="37"/>
      <c r="V1" s="37"/>
      <c r="W1" s="37"/>
      <c r="X1" s="37"/>
      <c r="Y1" s="37"/>
      <c r="Z1" s="37"/>
      <c r="AA1" s="37"/>
      <c r="AB1" s="37"/>
      <c r="AC1" s="37"/>
      <c r="AD1" s="37"/>
      <c r="AE1" s="37"/>
    </row>
    <row r="2" spans="1:37" x14ac:dyDescent="0.2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3" spans="1:37" ht="25.5" x14ac:dyDescent="0.25">
      <c r="A3" s="37"/>
      <c r="B3" s="3"/>
      <c r="C3" s="4" t="s">
        <v>52</v>
      </c>
      <c r="D3" s="4" t="s">
        <v>4</v>
      </c>
      <c r="E3" s="37"/>
      <c r="F3" s="37"/>
      <c r="G3" s="37"/>
      <c r="H3" s="37"/>
      <c r="I3" s="37"/>
      <c r="J3" s="37"/>
      <c r="K3" s="37"/>
      <c r="L3" s="37"/>
      <c r="M3" s="37"/>
      <c r="N3" s="37"/>
      <c r="O3" s="37"/>
      <c r="P3" s="37"/>
      <c r="Q3" s="37"/>
      <c r="R3" s="37"/>
      <c r="S3" s="37"/>
      <c r="T3" s="37"/>
      <c r="U3" s="37"/>
      <c r="V3" s="37"/>
      <c r="W3" s="37"/>
      <c r="X3" s="37"/>
      <c r="Y3" s="37"/>
      <c r="Z3" s="37"/>
      <c r="AA3" s="37"/>
      <c r="AB3" s="37"/>
      <c r="AC3" s="37"/>
      <c r="AD3" s="37"/>
      <c r="AE3" s="37"/>
    </row>
    <row r="4" spans="1:37" ht="51" x14ac:dyDescent="0.25">
      <c r="A4" s="37"/>
      <c r="B4" s="5" t="s">
        <v>51</v>
      </c>
      <c r="C4" s="6" t="s">
        <v>102</v>
      </c>
      <c r="D4" s="7">
        <v>0.2</v>
      </c>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1:37" ht="51" x14ac:dyDescent="0.25">
      <c r="A5" s="37"/>
      <c r="B5" s="8" t="s">
        <v>53</v>
      </c>
      <c r="C5" s="9" t="s">
        <v>103</v>
      </c>
      <c r="D5" s="10">
        <v>0.4</v>
      </c>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7" ht="51" x14ac:dyDescent="0.25">
      <c r="A6" s="37"/>
      <c r="B6" s="11" t="s">
        <v>107</v>
      </c>
      <c r="C6" s="9" t="s">
        <v>104</v>
      </c>
      <c r="D6" s="10">
        <v>0.6</v>
      </c>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7" ht="76.5" x14ac:dyDescent="0.25">
      <c r="A7" s="37"/>
      <c r="B7" s="12" t="s">
        <v>6</v>
      </c>
      <c r="C7" s="9" t="s">
        <v>105</v>
      </c>
      <c r="D7" s="10">
        <v>0.8</v>
      </c>
      <c r="E7" s="37"/>
      <c r="F7" s="37"/>
      <c r="G7" s="37"/>
      <c r="H7" s="37"/>
      <c r="I7" s="37"/>
      <c r="J7" s="37"/>
      <c r="K7" s="37"/>
      <c r="L7" s="37"/>
      <c r="M7" s="37"/>
      <c r="N7" s="37"/>
      <c r="O7" s="37"/>
      <c r="P7" s="37"/>
      <c r="Q7" s="37"/>
      <c r="R7" s="37"/>
      <c r="S7" s="37"/>
      <c r="T7" s="37"/>
      <c r="U7" s="37"/>
      <c r="V7" s="37"/>
      <c r="W7" s="37"/>
      <c r="X7" s="37"/>
      <c r="Y7" s="37"/>
      <c r="Z7" s="37"/>
      <c r="AA7" s="37"/>
      <c r="AB7" s="37"/>
      <c r="AC7" s="37"/>
      <c r="AD7" s="37"/>
      <c r="AE7" s="37"/>
    </row>
    <row r="8" spans="1:37" ht="51" x14ac:dyDescent="0.25">
      <c r="A8" s="37"/>
      <c r="B8" s="13" t="s">
        <v>54</v>
      </c>
      <c r="C8" s="9" t="s">
        <v>106</v>
      </c>
      <c r="D8" s="10">
        <v>1</v>
      </c>
      <c r="E8" s="37"/>
      <c r="F8" s="37"/>
      <c r="G8" s="37"/>
      <c r="H8" s="37"/>
      <c r="I8" s="37"/>
      <c r="J8" s="37"/>
      <c r="K8" s="37"/>
      <c r="L8" s="37"/>
      <c r="M8" s="37"/>
      <c r="N8" s="37"/>
      <c r="O8" s="37"/>
      <c r="P8" s="37"/>
      <c r="Q8" s="37"/>
      <c r="R8" s="37"/>
      <c r="S8" s="37"/>
      <c r="T8" s="37"/>
      <c r="U8" s="37"/>
      <c r="V8" s="37"/>
      <c r="W8" s="37"/>
      <c r="X8" s="37"/>
      <c r="Y8" s="37"/>
      <c r="Z8" s="37"/>
      <c r="AA8" s="37"/>
      <c r="AB8" s="37"/>
      <c r="AC8" s="37"/>
      <c r="AD8" s="37"/>
      <c r="AE8" s="37"/>
    </row>
    <row r="9" spans="1:37" x14ac:dyDescent="0.25">
      <c r="A9" s="37"/>
      <c r="B9" s="61"/>
      <c r="C9" s="61"/>
      <c r="D9" s="61"/>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row>
    <row r="10" spans="1:37" ht="16.5" x14ac:dyDescent="0.25">
      <c r="A10" s="37"/>
      <c r="B10" s="62"/>
      <c r="C10" s="61"/>
      <c r="D10" s="61"/>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row>
    <row r="11" spans="1:37" x14ac:dyDescent="0.25">
      <c r="A11" s="37"/>
      <c r="B11" s="61"/>
      <c r="C11" s="61"/>
      <c r="D11" s="61"/>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row>
    <row r="12" spans="1:37" x14ac:dyDescent="0.25">
      <c r="A12" s="37"/>
      <c r="B12" s="61"/>
      <c r="C12" s="61"/>
      <c r="D12" s="61"/>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row>
    <row r="13" spans="1:37" x14ac:dyDescent="0.25">
      <c r="A13" s="37"/>
      <c r="B13" s="61"/>
      <c r="C13" s="61"/>
      <c r="D13" s="61"/>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row>
    <row r="14" spans="1:37" x14ac:dyDescent="0.25">
      <c r="A14" s="37"/>
      <c r="B14" s="61"/>
      <c r="C14" s="61"/>
      <c r="D14" s="61"/>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row>
    <row r="15" spans="1:37" x14ac:dyDescent="0.25">
      <c r="A15" s="37"/>
      <c r="B15" s="61"/>
      <c r="C15" s="61"/>
      <c r="D15" s="61"/>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row>
    <row r="16" spans="1:37" x14ac:dyDescent="0.25">
      <c r="A16" s="37"/>
      <c r="B16" s="61"/>
      <c r="C16" s="61"/>
      <c r="D16" s="61"/>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row>
    <row r="17" spans="1:37" x14ac:dyDescent="0.25">
      <c r="A17" s="37"/>
      <c r="B17" s="61"/>
      <c r="C17" s="61"/>
      <c r="D17" s="61"/>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row>
    <row r="18" spans="1:37" x14ac:dyDescent="0.25">
      <c r="A18" s="37"/>
      <c r="B18" s="61"/>
      <c r="C18" s="61"/>
      <c r="D18" s="61"/>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row>
    <row r="19" spans="1:37" x14ac:dyDescent="0.2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row>
    <row r="20" spans="1:37" x14ac:dyDescent="0.25">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row>
    <row r="21" spans="1:37" x14ac:dyDescent="0.25">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row>
    <row r="22" spans="1:37" x14ac:dyDescent="0.2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row>
    <row r="23" spans="1:37" x14ac:dyDescent="0.2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row>
    <row r="24" spans="1:37" x14ac:dyDescent="0.2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row>
    <row r="25" spans="1:37" x14ac:dyDescent="0.2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row>
    <row r="26" spans="1:37" x14ac:dyDescent="0.2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row>
    <row r="27" spans="1:37" x14ac:dyDescent="0.2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row>
    <row r="28" spans="1:37" x14ac:dyDescent="0.2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row>
    <row r="29" spans="1:37" x14ac:dyDescent="0.2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row>
    <row r="30" spans="1:37" x14ac:dyDescent="0.2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row>
    <row r="31" spans="1:37" x14ac:dyDescent="0.2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row>
    <row r="32" spans="1:37" x14ac:dyDescent="0.2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row>
    <row r="33" spans="1:31" x14ac:dyDescent="0.25">
      <c r="A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row>
    <row r="34" spans="1:31" x14ac:dyDescent="0.25">
      <c r="A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row>
    <row r="35" spans="1:31" x14ac:dyDescent="0.25">
      <c r="A35" s="37"/>
    </row>
    <row r="36" spans="1:31" x14ac:dyDescent="0.25">
      <c r="A36" s="37"/>
    </row>
    <row r="37" spans="1:31" x14ac:dyDescent="0.25">
      <c r="A37" s="37"/>
    </row>
    <row r="38" spans="1:31" x14ac:dyDescent="0.25">
      <c r="A38" s="37"/>
    </row>
    <row r="39" spans="1:31" x14ac:dyDescent="0.25">
      <c r="A39" s="37"/>
    </row>
    <row r="40" spans="1:31" x14ac:dyDescent="0.25">
      <c r="A40" s="37"/>
    </row>
    <row r="41" spans="1:31" x14ac:dyDescent="0.25">
      <c r="A41" s="37"/>
    </row>
    <row r="42" spans="1:31" x14ac:dyDescent="0.25">
      <c r="A42" s="37"/>
    </row>
    <row r="43" spans="1:31" x14ac:dyDescent="0.25">
      <c r="A43" s="37"/>
    </row>
    <row r="44" spans="1:31" x14ac:dyDescent="0.25">
      <c r="A44" s="37"/>
    </row>
    <row r="45" spans="1:31" x14ac:dyDescent="0.25">
      <c r="A45" s="37"/>
    </row>
    <row r="46" spans="1:31" x14ac:dyDescent="0.25">
      <c r="A46" s="37"/>
    </row>
    <row r="47" spans="1:31" x14ac:dyDescent="0.25">
      <c r="A47" s="37"/>
    </row>
    <row r="48" spans="1:31" x14ac:dyDescent="0.25">
      <c r="A48" s="37"/>
    </row>
    <row r="49" spans="1:1" x14ac:dyDescent="0.25">
      <c r="A49" s="37"/>
    </row>
    <row r="50" spans="1:1" x14ac:dyDescent="0.25">
      <c r="A50" s="37"/>
    </row>
    <row r="51" spans="1:1" x14ac:dyDescent="0.25">
      <c r="A51" s="37"/>
    </row>
    <row r="52" spans="1:1" x14ac:dyDescent="0.25">
      <c r="A52" s="37"/>
    </row>
    <row r="53" spans="1:1" x14ac:dyDescent="0.25">
      <c r="A53" s="37"/>
    </row>
    <row r="54" spans="1:1" x14ac:dyDescent="0.25">
      <c r="A54" s="37"/>
    </row>
    <row r="55" spans="1:1" x14ac:dyDescent="0.25">
      <c r="A55" s="37"/>
    </row>
  </sheetData>
  <sheetProtection algorithmName="SHA-512" hashValue="ns8TM8dcYDjtJpw8OlKv80jEifHLRv7IEWp7DkkzrTcWTEAlH4Hg6Fw9QJj4GSCGJVsk2GOZ0iGBtmb/rR8wpA==" saltValue="1rdDdas4U1FkU7EZEfKyEQ==" spinCount="100000" sheet="1" objects="1" scenarios="1"/>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D8" sqref="D8"/>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37"/>
      <c r="B1" s="551" t="s">
        <v>63</v>
      </c>
      <c r="C1" s="551"/>
      <c r="D1" s="551"/>
      <c r="E1" s="37"/>
      <c r="F1" s="37"/>
      <c r="G1" s="37"/>
      <c r="H1" s="37"/>
      <c r="I1" s="37"/>
      <c r="J1" s="37"/>
      <c r="K1" s="37"/>
      <c r="L1" s="37"/>
      <c r="M1" s="37"/>
      <c r="N1" s="37"/>
      <c r="O1" s="37"/>
      <c r="P1" s="37"/>
      <c r="Q1" s="37"/>
      <c r="R1" s="37"/>
      <c r="S1" s="37"/>
      <c r="T1" s="37"/>
      <c r="U1" s="37"/>
    </row>
    <row r="2" spans="1:21" x14ac:dyDescent="0.25">
      <c r="A2" s="37"/>
      <c r="B2" s="37"/>
      <c r="C2" s="37"/>
      <c r="D2" s="37"/>
      <c r="E2" s="37"/>
      <c r="F2" s="37"/>
      <c r="G2" s="37"/>
      <c r="H2" s="37"/>
      <c r="I2" s="37"/>
      <c r="J2" s="37"/>
      <c r="K2" s="37"/>
      <c r="L2" s="37"/>
      <c r="M2" s="37"/>
      <c r="N2" s="37"/>
      <c r="O2" s="37"/>
      <c r="P2" s="37"/>
      <c r="Q2" s="37"/>
      <c r="R2" s="37"/>
      <c r="S2" s="37"/>
      <c r="T2" s="37"/>
      <c r="U2" s="37"/>
    </row>
    <row r="3" spans="1:21" ht="30" x14ac:dyDescent="0.25">
      <c r="A3" s="37"/>
      <c r="B3" s="58"/>
      <c r="C3" s="22" t="s">
        <v>56</v>
      </c>
      <c r="D3" s="22" t="s">
        <v>57</v>
      </c>
      <c r="E3" s="37"/>
      <c r="F3" s="37"/>
      <c r="G3" s="37"/>
      <c r="H3" s="37"/>
      <c r="I3" s="37"/>
      <c r="J3" s="37"/>
      <c r="K3" s="37"/>
      <c r="L3" s="37"/>
      <c r="M3" s="37"/>
      <c r="N3" s="37"/>
      <c r="O3" s="37"/>
      <c r="P3" s="37"/>
      <c r="Q3" s="37"/>
      <c r="R3" s="37"/>
      <c r="S3" s="37"/>
      <c r="T3" s="37"/>
      <c r="U3" s="37"/>
    </row>
    <row r="4" spans="1:21" ht="33.75" x14ac:dyDescent="0.25">
      <c r="A4" s="57" t="s">
        <v>83</v>
      </c>
      <c r="B4" s="25" t="s">
        <v>101</v>
      </c>
      <c r="C4" s="30" t="s">
        <v>155</v>
      </c>
      <c r="D4" s="23" t="s">
        <v>97</v>
      </c>
      <c r="E4" s="37"/>
      <c r="F4" s="37"/>
      <c r="G4" s="37"/>
      <c r="H4" s="37"/>
      <c r="I4" s="37"/>
      <c r="J4" s="37"/>
      <c r="K4" s="37"/>
      <c r="L4" s="37"/>
      <c r="M4" s="37"/>
      <c r="N4" s="37"/>
      <c r="O4" s="37"/>
      <c r="P4" s="37"/>
      <c r="Q4" s="37"/>
      <c r="R4" s="37"/>
      <c r="S4" s="37"/>
      <c r="T4" s="37"/>
      <c r="U4" s="37"/>
    </row>
    <row r="5" spans="1:21" ht="67.5" x14ac:dyDescent="0.25">
      <c r="A5" s="57" t="s">
        <v>84</v>
      </c>
      <c r="B5" s="26" t="s">
        <v>59</v>
      </c>
      <c r="C5" s="31" t="s">
        <v>93</v>
      </c>
      <c r="D5" s="24" t="s">
        <v>98</v>
      </c>
      <c r="E5" s="37"/>
      <c r="F5" s="37"/>
      <c r="G5" s="37"/>
      <c r="H5" s="37"/>
      <c r="I5" s="37"/>
      <c r="J5" s="37"/>
      <c r="K5" s="37"/>
      <c r="L5" s="37"/>
      <c r="M5" s="37"/>
      <c r="N5" s="37"/>
      <c r="O5" s="37"/>
      <c r="P5" s="37"/>
      <c r="Q5" s="37"/>
      <c r="R5" s="37"/>
      <c r="S5" s="37"/>
      <c r="T5" s="37"/>
      <c r="U5" s="37"/>
    </row>
    <row r="6" spans="1:21" ht="67.5" x14ac:dyDescent="0.25">
      <c r="A6" s="57" t="s">
        <v>81</v>
      </c>
      <c r="B6" s="27" t="s">
        <v>60</v>
      </c>
      <c r="C6" s="31" t="s">
        <v>94</v>
      </c>
      <c r="D6" s="24" t="s">
        <v>100</v>
      </c>
      <c r="E6" s="37"/>
      <c r="F6" s="37"/>
      <c r="G6" s="37"/>
      <c r="H6" s="37"/>
      <c r="I6" s="37"/>
      <c r="J6" s="37"/>
      <c r="K6" s="37"/>
      <c r="L6" s="37"/>
      <c r="M6" s="37"/>
      <c r="N6" s="37"/>
      <c r="O6" s="37"/>
      <c r="P6" s="37"/>
      <c r="Q6" s="37"/>
      <c r="R6" s="37"/>
      <c r="S6" s="37"/>
      <c r="T6" s="37"/>
      <c r="U6" s="37"/>
    </row>
    <row r="7" spans="1:21" ht="101.25" x14ac:dyDescent="0.25">
      <c r="A7" s="57" t="s">
        <v>7</v>
      </c>
      <c r="B7" s="28" t="s">
        <v>61</v>
      </c>
      <c r="C7" s="31" t="s">
        <v>95</v>
      </c>
      <c r="D7" s="24" t="s">
        <v>99</v>
      </c>
      <c r="E7" s="37"/>
      <c r="F7" s="37"/>
      <c r="G7" s="37"/>
      <c r="H7" s="37"/>
      <c r="I7" s="37"/>
      <c r="J7" s="37"/>
      <c r="K7" s="37"/>
      <c r="L7" s="37"/>
      <c r="M7" s="37"/>
      <c r="N7" s="37"/>
      <c r="O7" s="37"/>
      <c r="P7" s="37"/>
      <c r="Q7" s="37"/>
      <c r="R7" s="37"/>
      <c r="S7" s="37"/>
      <c r="T7" s="37"/>
      <c r="U7" s="37"/>
    </row>
    <row r="8" spans="1:21" ht="67.5" x14ac:dyDescent="0.25">
      <c r="A8" s="57" t="s">
        <v>85</v>
      </c>
      <c r="B8" s="29" t="s">
        <v>62</v>
      </c>
      <c r="C8" s="31" t="s">
        <v>96</v>
      </c>
      <c r="D8" s="24" t="s">
        <v>118</v>
      </c>
      <c r="E8" s="37"/>
      <c r="F8" s="37"/>
      <c r="G8" s="37"/>
      <c r="H8" s="37"/>
      <c r="I8" s="37"/>
      <c r="J8" s="37"/>
      <c r="K8" s="37"/>
      <c r="L8" s="37"/>
      <c r="M8" s="37"/>
      <c r="N8" s="37"/>
      <c r="O8" s="37"/>
      <c r="P8" s="37"/>
      <c r="Q8" s="37"/>
      <c r="R8" s="37"/>
      <c r="S8" s="37"/>
      <c r="T8" s="37"/>
      <c r="U8" s="37"/>
    </row>
    <row r="9" spans="1:21" ht="20.25" x14ac:dyDescent="0.25">
      <c r="A9" s="57"/>
      <c r="B9" s="57"/>
      <c r="C9" s="59"/>
      <c r="D9" s="59"/>
      <c r="E9" s="37"/>
      <c r="F9" s="37"/>
      <c r="G9" s="37"/>
      <c r="H9" s="37"/>
      <c r="I9" s="37"/>
      <c r="J9" s="37"/>
      <c r="K9" s="37"/>
      <c r="L9" s="37"/>
      <c r="M9" s="37"/>
      <c r="N9" s="37"/>
      <c r="O9" s="37"/>
      <c r="P9" s="37"/>
      <c r="Q9" s="37"/>
      <c r="R9" s="37"/>
      <c r="S9" s="37"/>
      <c r="T9" s="37"/>
      <c r="U9" s="37"/>
    </row>
    <row r="10" spans="1:21" ht="16.5" x14ac:dyDescent="0.25">
      <c r="A10" s="57"/>
      <c r="B10" s="60"/>
      <c r="C10" s="60"/>
      <c r="D10" s="60"/>
      <c r="E10" s="37"/>
      <c r="F10" s="37"/>
      <c r="G10" s="37"/>
      <c r="H10" s="37"/>
      <c r="I10" s="37"/>
      <c r="J10" s="37"/>
      <c r="K10" s="37"/>
      <c r="L10" s="37"/>
      <c r="M10" s="37"/>
      <c r="N10" s="37"/>
      <c r="O10" s="37"/>
      <c r="P10" s="37"/>
      <c r="Q10" s="37"/>
      <c r="R10" s="37"/>
      <c r="S10" s="37"/>
      <c r="T10" s="37"/>
      <c r="U10" s="37"/>
    </row>
    <row r="11" spans="1:21" x14ac:dyDescent="0.25">
      <c r="A11" s="57"/>
      <c r="B11" s="57" t="s">
        <v>91</v>
      </c>
      <c r="C11" s="57" t="s">
        <v>143</v>
      </c>
      <c r="D11" s="57" t="s">
        <v>150</v>
      </c>
      <c r="E11" s="37"/>
      <c r="F11" s="37"/>
      <c r="G11" s="37"/>
      <c r="H11" s="37"/>
      <c r="I11" s="37"/>
      <c r="J11" s="37"/>
      <c r="K11" s="37"/>
      <c r="L11" s="37"/>
      <c r="M11" s="37"/>
      <c r="N11" s="37"/>
      <c r="O11" s="37"/>
      <c r="P11" s="37"/>
      <c r="Q11" s="37"/>
      <c r="R11" s="37"/>
      <c r="S11" s="37"/>
      <c r="T11" s="37"/>
      <c r="U11" s="37"/>
    </row>
    <row r="12" spans="1:21" x14ac:dyDescent="0.25">
      <c r="A12" s="57"/>
      <c r="B12" s="57" t="s">
        <v>89</v>
      </c>
      <c r="C12" s="57" t="s">
        <v>147</v>
      </c>
      <c r="D12" s="57" t="s">
        <v>151</v>
      </c>
      <c r="E12" s="37"/>
      <c r="F12" s="37"/>
      <c r="G12" s="37"/>
      <c r="H12" s="37"/>
      <c r="I12" s="37"/>
      <c r="J12" s="37"/>
      <c r="K12" s="37"/>
      <c r="L12" s="37"/>
      <c r="M12" s="37"/>
      <c r="N12" s="37"/>
      <c r="O12" s="37"/>
      <c r="P12" s="37"/>
      <c r="Q12" s="37"/>
      <c r="R12" s="37"/>
      <c r="S12" s="37"/>
      <c r="T12" s="37"/>
      <c r="U12" s="37"/>
    </row>
    <row r="13" spans="1:21" x14ac:dyDescent="0.25">
      <c r="A13" s="57"/>
      <c r="B13" s="57"/>
      <c r="C13" s="57" t="s">
        <v>146</v>
      </c>
      <c r="D13" s="57" t="s">
        <v>152</v>
      </c>
      <c r="E13" s="37"/>
      <c r="F13" s="37"/>
      <c r="G13" s="37"/>
      <c r="H13" s="37"/>
      <c r="I13" s="37"/>
      <c r="J13" s="37"/>
      <c r="K13" s="37"/>
      <c r="L13" s="37"/>
      <c r="M13" s="37"/>
      <c r="N13" s="37"/>
      <c r="O13" s="37"/>
      <c r="P13" s="37"/>
      <c r="Q13" s="37"/>
      <c r="R13" s="37"/>
      <c r="S13" s="37"/>
      <c r="T13" s="37"/>
      <c r="U13" s="37"/>
    </row>
    <row r="14" spans="1:21" x14ac:dyDescent="0.25">
      <c r="A14" s="57"/>
      <c r="B14" s="57"/>
      <c r="C14" s="57" t="s">
        <v>148</v>
      </c>
      <c r="D14" s="57" t="s">
        <v>153</v>
      </c>
      <c r="E14" s="37"/>
      <c r="F14" s="37"/>
      <c r="G14" s="37"/>
      <c r="H14" s="37"/>
      <c r="I14" s="37"/>
      <c r="J14" s="37"/>
      <c r="K14" s="37"/>
      <c r="L14" s="37"/>
      <c r="M14" s="37"/>
      <c r="N14" s="37"/>
      <c r="O14" s="37"/>
      <c r="P14" s="37"/>
      <c r="Q14" s="37"/>
      <c r="R14" s="37"/>
      <c r="S14" s="37"/>
      <c r="T14" s="37"/>
      <c r="U14" s="37"/>
    </row>
    <row r="15" spans="1:21" x14ac:dyDescent="0.25">
      <c r="A15" s="57"/>
      <c r="B15" s="57"/>
      <c r="C15" s="57" t="s">
        <v>149</v>
      </c>
      <c r="D15" s="57" t="s">
        <v>154</v>
      </c>
      <c r="E15" s="37"/>
      <c r="F15" s="37"/>
      <c r="G15" s="37"/>
      <c r="H15" s="37"/>
      <c r="I15" s="37"/>
      <c r="J15" s="37"/>
      <c r="K15" s="37"/>
      <c r="L15" s="37"/>
      <c r="M15" s="37"/>
      <c r="N15" s="37"/>
      <c r="O15" s="37"/>
      <c r="P15" s="37"/>
      <c r="Q15" s="37"/>
      <c r="R15" s="37"/>
      <c r="S15" s="37"/>
      <c r="T15" s="37"/>
      <c r="U15" s="37"/>
    </row>
    <row r="16" spans="1:21" x14ac:dyDescent="0.25">
      <c r="A16" s="57"/>
      <c r="B16" s="57"/>
      <c r="C16" s="57"/>
      <c r="D16" s="57"/>
      <c r="E16" s="37"/>
      <c r="F16" s="37"/>
      <c r="G16" s="37"/>
      <c r="H16" s="37"/>
      <c r="I16" s="37"/>
      <c r="J16" s="37"/>
      <c r="K16" s="37"/>
      <c r="L16" s="37"/>
      <c r="M16" s="37"/>
      <c r="N16" s="37"/>
      <c r="O16" s="37"/>
    </row>
    <row r="17" spans="1:15" x14ac:dyDescent="0.25">
      <c r="A17" s="57"/>
      <c r="B17" s="57"/>
      <c r="C17" s="57"/>
      <c r="D17" s="57"/>
      <c r="E17" s="37"/>
      <c r="F17" s="37"/>
      <c r="G17" s="37"/>
      <c r="H17" s="37"/>
      <c r="I17" s="37"/>
      <c r="J17" s="37"/>
      <c r="K17" s="37"/>
      <c r="L17" s="37"/>
      <c r="M17" s="37"/>
      <c r="N17" s="37"/>
      <c r="O17" s="37"/>
    </row>
    <row r="18" spans="1:15" x14ac:dyDescent="0.25">
      <c r="A18" s="57"/>
      <c r="B18" s="61"/>
      <c r="C18" s="61"/>
      <c r="D18" s="61"/>
      <c r="E18" s="37"/>
      <c r="F18" s="37"/>
      <c r="G18" s="37"/>
      <c r="H18" s="37"/>
      <c r="I18" s="37"/>
      <c r="J18" s="37"/>
      <c r="K18" s="37"/>
      <c r="L18" s="37"/>
      <c r="M18" s="37"/>
      <c r="N18" s="37"/>
      <c r="O18" s="37"/>
    </row>
    <row r="19" spans="1:15" x14ac:dyDescent="0.25">
      <c r="A19" s="57"/>
      <c r="B19" s="61"/>
      <c r="C19" s="61"/>
      <c r="D19" s="61"/>
      <c r="E19" s="37"/>
      <c r="F19" s="37"/>
      <c r="G19" s="37"/>
      <c r="H19" s="37"/>
      <c r="I19" s="37"/>
      <c r="J19" s="37"/>
      <c r="K19" s="37"/>
      <c r="L19" s="37"/>
      <c r="M19" s="37"/>
      <c r="N19" s="37"/>
      <c r="O19" s="37"/>
    </row>
    <row r="20" spans="1:15" x14ac:dyDescent="0.25">
      <c r="A20" s="57"/>
      <c r="B20" s="61"/>
      <c r="C20" s="61"/>
      <c r="D20" s="61"/>
      <c r="E20" s="37"/>
      <c r="F20" s="37"/>
      <c r="G20" s="37"/>
      <c r="H20" s="37"/>
      <c r="I20" s="37"/>
      <c r="J20" s="37"/>
      <c r="K20" s="37"/>
      <c r="L20" s="37"/>
      <c r="M20" s="37"/>
      <c r="N20" s="37"/>
      <c r="O20" s="37"/>
    </row>
    <row r="21" spans="1:15" x14ac:dyDescent="0.25">
      <c r="A21" s="57"/>
      <c r="B21" s="61"/>
      <c r="C21" s="61"/>
      <c r="D21" s="61"/>
      <c r="E21" s="37"/>
      <c r="F21" s="37"/>
      <c r="G21" s="37"/>
      <c r="H21" s="37"/>
      <c r="I21" s="37"/>
      <c r="J21" s="37"/>
      <c r="K21" s="37"/>
      <c r="L21" s="37"/>
      <c r="M21" s="37"/>
      <c r="N21" s="37"/>
      <c r="O21" s="37"/>
    </row>
    <row r="22" spans="1:15" ht="20.25" x14ac:dyDescent="0.25">
      <c r="A22" s="57"/>
      <c r="B22" s="57"/>
      <c r="C22" s="59"/>
      <c r="D22" s="59"/>
      <c r="E22" s="37"/>
      <c r="F22" s="37"/>
      <c r="G22" s="37"/>
      <c r="H22" s="37"/>
      <c r="I22" s="37"/>
      <c r="J22" s="37"/>
      <c r="K22" s="37"/>
      <c r="L22" s="37"/>
      <c r="M22" s="37"/>
      <c r="N22" s="37"/>
      <c r="O22" s="37"/>
    </row>
    <row r="23" spans="1:15" ht="20.25" x14ac:dyDescent="0.25">
      <c r="A23" s="57"/>
      <c r="B23" s="57"/>
      <c r="C23" s="59"/>
      <c r="D23" s="59"/>
      <c r="E23" s="37"/>
      <c r="F23" s="37"/>
      <c r="G23" s="37"/>
      <c r="H23" s="37"/>
      <c r="I23" s="37"/>
      <c r="J23" s="37"/>
      <c r="K23" s="37"/>
      <c r="L23" s="37"/>
      <c r="M23" s="37"/>
      <c r="N23" s="37"/>
      <c r="O23" s="37"/>
    </row>
    <row r="24" spans="1:15" ht="20.25" x14ac:dyDescent="0.25">
      <c r="A24" s="57"/>
      <c r="B24" s="57"/>
      <c r="C24" s="59"/>
      <c r="D24" s="59"/>
      <c r="E24" s="37"/>
      <c r="F24" s="37"/>
      <c r="G24" s="37"/>
      <c r="H24" s="37"/>
      <c r="I24" s="37"/>
      <c r="J24" s="37"/>
      <c r="K24" s="37"/>
      <c r="L24" s="37"/>
      <c r="M24" s="37"/>
      <c r="N24" s="37"/>
      <c r="O24" s="37"/>
    </row>
    <row r="25" spans="1:15" ht="20.25" x14ac:dyDescent="0.25">
      <c r="A25" s="57"/>
      <c r="B25" s="57"/>
      <c r="C25" s="59"/>
      <c r="D25" s="59"/>
      <c r="E25" s="37"/>
      <c r="F25" s="37"/>
      <c r="G25" s="37"/>
      <c r="H25" s="37"/>
      <c r="I25" s="37"/>
      <c r="J25" s="37"/>
      <c r="K25" s="37"/>
      <c r="L25" s="37"/>
      <c r="M25" s="37"/>
      <c r="N25" s="37"/>
      <c r="O25" s="37"/>
    </row>
    <row r="26" spans="1:15" ht="20.25" x14ac:dyDescent="0.25">
      <c r="A26" s="57"/>
      <c r="B26" s="57"/>
      <c r="C26" s="59"/>
      <c r="D26" s="59"/>
      <c r="E26" s="37"/>
      <c r="F26" s="37"/>
      <c r="G26" s="37"/>
      <c r="H26" s="37"/>
      <c r="I26" s="37"/>
      <c r="J26" s="37"/>
      <c r="K26" s="37"/>
      <c r="L26" s="37"/>
      <c r="M26" s="37"/>
      <c r="N26" s="37"/>
      <c r="O26" s="37"/>
    </row>
    <row r="27" spans="1:15" ht="20.25" x14ac:dyDescent="0.25">
      <c r="A27" s="57"/>
      <c r="B27" s="57"/>
      <c r="C27" s="59"/>
      <c r="D27" s="59"/>
      <c r="E27" s="37"/>
      <c r="F27" s="37"/>
      <c r="G27" s="37"/>
      <c r="H27" s="37"/>
      <c r="I27" s="37"/>
      <c r="J27" s="37"/>
      <c r="K27" s="37"/>
      <c r="L27" s="37"/>
      <c r="M27" s="37"/>
      <c r="N27" s="37"/>
      <c r="O27" s="37"/>
    </row>
    <row r="28" spans="1:15" ht="20.25" x14ac:dyDescent="0.25">
      <c r="A28" s="57"/>
      <c r="B28" s="57"/>
      <c r="C28" s="59"/>
      <c r="D28" s="59"/>
      <c r="E28" s="37"/>
      <c r="F28" s="37"/>
      <c r="G28" s="37"/>
      <c r="H28" s="37"/>
      <c r="I28" s="37"/>
      <c r="J28" s="37"/>
      <c r="K28" s="37"/>
      <c r="L28" s="37"/>
      <c r="M28" s="37"/>
      <c r="N28" s="37"/>
      <c r="O28" s="37"/>
    </row>
    <row r="29" spans="1:15" ht="20.25" x14ac:dyDescent="0.25">
      <c r="A29" s="57"/>
      <c r="B29" s="57"/>
      <c r="C29" s="59"/>
      <c r="D29" s="59"/>
      <c r="E29" s="37"/>
      <c r="F29" s="37"/>
      <c r="G29" s="37"/>
      <c r="H29" s="37"/>
      <c r="I29" s="37"/>
      <c r="J29" s="37"/>
      <c r="K29" s="37"/>
      <c r="L29" s="37"/>
      <c r="M29" s="37"/>
      <c r="N29" s="37"/>
      <c r="O29" s="37"/>
    </row>
    <row r="30" spans="1:15" ht="20.25" x14ac:dyDescent="0.25">
      <c r="A30" s="57"/>
      <c r="B30" s="57"/>
      <c r="C30" s="59"/>
      <c r="D30" s="59"/>
      <c r="E30" s="37"/>
      <c r="F30" s="37"/>
      <c r="G30" s="37"/>
      <c r="H30" s="37"/>
      <c r="I30" s="37"/>
      <c r="J30" s="37"/>
      <c r="K30" s="37"/>
      <c r="L30" s="37"/>
      <c r="M30" s="37"/>
      <c r="N30" s="37"/>
      <c r="O30" s="37"/>
    </row>
    <row r="31" spans="1:15" ht="20.25" x14ac:dyDescent="0.25">
      <c r="A31" s="57"/>
      <c r="B31" s="57"/>
      <c r="C31" s="59"/>
      <c r="D31" s="59"/>
      <c r="E31" s="37"/>
      <c r="F31" s="37"/>
      <c r="G31" s="37"/>
      <c r="H31" s="37"/>
      <c r="I31" s="37"/>
      <c r="J31" s="37"/>
      <c r="K31" s="37"/>
      <c r="L31" s="37"/>
      <c r="M31" s="37"/>
      <c r="N31" s="37"/>
      <c r="O31" s="37"/>
    </row>
    <row r="32" spans="1:15" ht="20.25" x14ac:dyDescent="0.25">
      <c r="A32" s="57"/>
      <c r="B32" s="57"/>
      <c r="C32" s="59"/>
      <c r="D32" s="59"/>
      <c r="E32" s="37"/>
      <c r="F32" s="37"/>
      <c r="G32" s="37"/>
      <c r="H32" s="37"/>
      <c r="I32" s="37"/>
      <c r="J32" s="37"/>
      <c r="K32" s="37"/>
      <c r="L32" s="37"/>
      <c r="M32" s="37"/>
      <c r="N32" s="37"/>
      <c r="O32" s="37"/>
    </row>
    <row r="33" spans="1:15" ht="20.25" x14ac:dyDescent="0.25">
      <c r="A33" s="57"/>
      <c r="B33" s="57"/>
      <c r="C33" s="59"/>
      <c r="D33" s="59"/>
      <c r="E33" s="37"/>
      <c r="F33" s="37"/>
      <c r="G33" s="37"/>
      <c r="H33" s="37"/>
      <c r="I33" s="37"/>
      <c r="J33" s="37"/>
      <c r="K33" s="37"/>
      <c r="L33" s="37"/>
      <c r="M33" s="37"/>
      <c r="N33" s="37"/>
      <c r="O33" s="37"/>
    </row>
    <row r="34" spans="1:15" ht="20.25" x14ac:dyDescent="0.25">
      <c r="A34" s="57"/>
      <c r="B34" s="57"/>
      <c r="C34" s="59"/>
      <c r="D34" s="59"/>
      <c r="E34" s="37"/>
      <c r="F34" s="37"/>
      <c r="G34" s="37"/>
      <c r="H34" s="37"/>
      <c r="I34" s="37"/>
      <c r="J34" s="37"/>
      <c r="K34" s="37"/>
      <c r="L34" s="37"/>
      <c r="M34" s="37"/>
      <c r="N34" s="37"/>
      <c r="O34" s="37"/>
    </row>
    <row r="35" spans="1:15" ht="20.25" x14ac:dyDescent="0.25">
      <c r="A35" s="57"/>
      <c r="B35" s="57"/>
      <c r="C35" s="59"/>
      <c r="D35" s="59"/>
      <c r="E35" s="37"/>
      <c r="F35" s="37"/>
      <c r="G35" s="37"/>
      <c r="H35" s="37"/>
      <c r="I35" s="37"/>
      <c r="J35" s="37"/>
      <c r="K35" s="37"/>
      <c r="L35" s="37"/>
      <c r="M35" s="37"/>
      <c r="N35" s="37"/>
      <c r="O35" s="37"/>
    </row>
    <row r="36" spans="1:15" ht="20.25" x14ac:dyDescent="0.25">
      <c r="A36" s="57"/>
      <c r="B36" s="57"/>
      <c r="C36" s="59"/>
      <c r="D36" s="59"/>
      <c r="E36" s="37"/>
      <c r="F36" s="37"/>
      <c r="G36" s="37"/>
      <c r="H36" s="37"/>
      <c r="I36" s="37"/>
      <c r="J36" s="37"/>
      <c r="K36" s="37"/>
      <c r="L36" s="37"/>
      <c r="M36" s="37"/>
      <c r="N36" s="37"/>
      <c r="O36" s="37"/>
    </row>
    <row r="37" spans="1:15" ht="20.25" x14ac:dyDescent="0.25">
      <c r="A37" s="57"/>
      <c r="B37" s="57"/>
      <c r="C37" s="59"/>
      <c r="D37" s="59"/>
      <c r="E37" s="37"/>
      <c r="F37" s="37"/>
      <c r="G37" s="37"/>
      <c r="H37" s="37"/>
      <c r="I37" s="37"/>
      <c r="J37" s="37"/>
      <c r="K37" s="37"/>
      <c r="L37" s="37"/>
      <c r="M37" s="37"/>
      <c r="N37" s="37"/>
      <c r="O37" s="37"/>
    </row>
    <row r="38" spans="1:15" ht="20.25" x14ac:dyDescent="0.25">
      <c r="A38" s="57"/>
      <c r="B38" s="57"/>
      <c r="C38" s="59"/>
      <c r="D38" s="59"/>
      <c r="E38" s="37"/>
      <c r="F38" s="37"/>
      <c r="G38" s="37"/>
      <c r="H38" s="37"/>
      <c r="I38" s="37"/>
      <c r="J38" s="37"/>
      <c r="K38" s="37"/>
      <c r="L38" s="37"/>
      <c r="M38" s="37"/>
      <c r="N38" s="37"/>
      <c r="O38" s="37"/>
    </row>
    <row r="39" spans="1:15" ht="20.25" x14ac:dyDescent="0.25">
      <c r="A39" s="57"/>
      <c r="B39" s="57"/>
      <c r="C39" s="59"/>
      <c r="D39" s="59"/>
      <c r="E39" s="37"/>
      <c r="F39" s="37"/>
      <c r="G39" s="37"/>
      <c r="H39" s="37"/>
      <c r="I39" s="37"/>
      <c r="J39" s="37"/>
      <c r="K39" s="37"/>
      <c r="L39" s="37"/>
      <c r="M39" s="37"/>
      <c r="N39" s="37"/>
      <c r="O39" s="37"/>
    </row>
    <row r="40" spans="1:15" ht="20.25" x14ac:dyDescent="0.25">
      <c r="A40" s="57"/>
      <c r="B40" s="57"/>
      <c r="C40" s="59"/>
      <c r="D40" s="59"/>
      <c r="E40" s="37"/>
      <c r="F40" s="37"/>
      <c r="G40" s="37"/>
      <c r="H40" s="37"/>
      <c r="I40" s="37"/>
      <c r="J40" s="37"/>
      <c r="K40" s="37"/>
      <c r="L40" s="37"/>
      <c r="M40" s="37"/>
      <c r="N40" s="37"/>
      <c r="O40" s="37"/>
    </row>
    <row r="41" spans="1:15" ht="20.25" x14ac:dyDescent="0.25">
      <c r="A41" s="57"/>
      <c r="B41" s="57"/>
      <c r="C41" s="59"/>
      <c r="D41" s="59"/>
      <c r="E41" s="37"/>
      <c r="F41" s="37"/>
      <c r="G41" s="37"/>
      <c r="H41" s="37"/>
      <c r="I41" s="37"/>
      <c r="J41" s="37"/>
      <c r="K41" s="37"/>
      <c r="L41" s="37"/>
      <c r="M41" s="37"/>
      <c r="N41" s="37"/>
      <c r="O41" s="37"/>
    </row>
    <row r="42" spans="1:15" ht="20.25" x14ac:dyDescent="0.25">
      <c r="A42" s="57"/>
      <c r="B42" s="57"/>
      <c r="C42" s="59"/>
      <c r="D42" s="59"/>
      <c r="E42" s="37"/>
      <c r="F42" s="37"/>
      <c r="G42" s="37"/>
      <c r="H42" s="37"/>
      <c r="I42" s="37"/>
      <c r="J42" s="37"/>
      <c r="K42" s="37"/>
      <c r="L42" s="37"/>
      <c r="M42" s="37"/>
      <c r="N42" s="37"/>
      <c r="O42" s="37"/>
    </row>
    <row r="43" spans="1:15" ht="20.25" x14ac:dyDescent="0.25">
      <c r="A43" s="57"/>
      <c r="B43" s="57"/>
      <c r="C43" s="59"/>
      <c r="D43" s="59"/>
      <c r="E43" s="37"/>
      <c r="F43" s="37"/>
      <c r="G43" s="37"/>
      <c r="H43" s="37"/>
      <c r="I43" s="37"/>
      <c r="J43" s="37"/>
      <c r="K43" s="37"/>
      <c r="L43" s="37"/>
      <c r="M43" s="37"/>
      <c r="N43" s="37"/>
      <c r="O43" s="37"/>
    </row>
    <row r="44" spans="1:15" ht="20.25" x14ac:dyDescent="0.25">
      <c r="A44" s="57"/>
      <c r="B44" s="57"/>
      <c r="C44" s="59"/>
      <c r="D44" s="59"/>
      <c r="E44" s="37"/>
      <c r="F44" s="37"/>
      <c r="G44" s="37"/>
      <c r="H44" s="37"/>
      <c r="I44" s="37"/>
      <c r="J44" s="37"/>
      <c r="K44" s="37"/>
      <c r="L44" s="37"/>
      <c r="M44" s="37"/>
      <c r="N44" s="37"/>
      <c r="O44" s="37"/>
    </row>
    <row r="45" spans="1:15" ht="20.25" x14ac:dyDescent="0.25">
      <c r="A45" s="57"/>
      <c r="B45" s="57"/>
      <c r="C45" s="59"/>
      <c r="D45" s="59"/>
      <c r="E45" s="37"/>
      <c r="F45" s="37"/>
      <c r="G45" s="37"/>
      <c r="H45" s="37"/>
      <c r="I45" s="37"/>
      <c r="J45" s="37"/>
      <c r="K45" s="37"/>
      <c r="L45" s="37"/>
      <c r="M45" s="37"/>
      <c r="N45" s="37"/>
      <c r="O45" s="37"/>
    </row>
    <row r="46" spans="1:15" ht="20.25" x14ac:dyDescent="0.25">
      <c r="A46" s="57"/>
      <c r="B46" s="57"/>
      <c r="C46" s="59"/>
      <c r="D46" s="59"/>
      <c r="E46" s="37"/>
      <c r="F46" s="37"/>
      <c r="G46" s="37"/>
      <c r="H46" s="37"/>
      <c r="I46" s="37"/>
      <c r="J46" s="37"/>
      <c r="K46" s="37"/>
      <c r="L46" s="37"/>
      <c r="M46" s="37"/>
      <c r="N46" s="37"/>
      <c r="O46" s="37"/>
    </row>
    <row r="47" spans="1:15" ht="20.25" x14ac:dyDescent="0.25">
      <c r="A47" s="57"/>
      <c r="B47" s="57"/>
      <c r="C47" s="59"/>
      <c r="D47" s="59"/>
      <c r="E47" s="37"/>
      <c r="F47" s="37"/>
      <c r="G47" s="37"/>
      <c r="H47" s="37"/>
      <c r="I47" s="37"/>
      <c r="J47" s="37"/>
      <c r="K47" s="37"/>
      <c r="L47" s="37"/>
      <c r="M47" s="37"/>
      <c r="N47" s="37"/>
      <c r="O47" s="37"/>
    </row>
    <row r="48" spans="1:15" ht="20.25" x14ac:dyDescent="0.25">
      <c r="A48" s="57"/>
      <c r="B48" s="57"/>
      <c r="C48" s="59"/>
      <c r="D48" s="59"/>
      <c r="E48" s="37"/>
      <c r="F48" s="37"/>
      <c r="G48" s="37"/>
      <c r="H48" s="37"/>
      <c r="I48" s="37"/>
      <c r="J48" s="37"/>
      <c r="K48" s="37"/>
      <c r="L48" s="37"/>
      <c r="M48" s="37"/>
      <c r="N48" s="37"/>
      <c r="O48" s="37"/>
    </row>
    <row r="49" spans="1:15" ht="20.25" x14ac:dyDescent="0.25">
      <c r="A49" s="57"/>
      <c r="B49" s="57"/>
      <c r="C49" s="59"/>
      <c r="D49" s="59"/>
      <c r="E49" s="37"/>
      <c r="F49" s="37"/>
      <c r="G49" s="37"/>
      <c r="H49" s="37"/>
      <c r="I49" s="37"/>
      <c r="J49" s="37"/>
      <c r="K49" s="37"/>
      <c r="L49" s="37"/>
      <c r="M49" s="37"/>
      <c r="N49" s="37"/>
      <c r="O49" s="37"/>
    </row>
    <row r="50" spans="1:15" ht="20.25" x14ac:dyDescent="0.25">
      <c r="A50" s="57"/>
      <c r="B50" s="57"/>
      <c r="C50" s="59"/>
      <c r="D50" s="59"/>
      <c r="E50" s="37"/>
      <c r="F50" s="37"/>
      <c r="G50" s="37"/>
      <c r="H50" s="37"/>
      <c r="I50" s="37"/>
      <c r="J50" s="37"/>
      <c r="K50" s="37"/>
      <c r="L50" s="37"/>
      <c r="M50" s="37"/>
      <c r="N50" s="37"/>
      <c r="O50" s="37"/>
    </row>
    <row r="51" spans="1:15" ht="20.25" x14ac:dyDescent="0.25">
      <c r="A51" s="57"/>
      <c r="B51" s="57"/>
      <c r="C51" s="59"/>
      <c r="D51" s="59"/>
      <c r="E51" s="37"/>
      <c r="F51" s="37"/>
      <c r="G51" s="37"/>
      <c r="H51" s="37"/>
      <c r="I51" s="37"/>
      <c r="J51" s="37"/>
      <c r="K51" s="37"/>
      <c r="L51" s="37"/>
      <c r="M51" s="37"/>
      <c r="N51" s="37"/>
      <c r="O51" s="37"/>
    </row>
    <row r="52" spans="1:15" ht="20.25" x14ac:dyDescent="0.25">
      <c r="A52" s="57"/>
      <c r="B52" s="15"/>
      <c r="C52" s="20"/>
      <c r="D52" s="20"/>
    </row>
    <row r="53" spans="1:15" ht="20.25" x14ac:dyDescent="0.25">
      <c r="A53" s="57"/>
      <c r="B53" s="15"/>
      <c r="C53" s="20"/>
      <c r="D53" s="20"/>
    </row>
    <row r="54" spans="1:15" ht="20.25" x14ac:dyDescent="0.25">
      <c r="A54" s="57"/>
      <c r="B54" s="15"/>
      <c r="C54" s="20"/>
      <c r="D54" s="20"/>
    </row>
    <row r="55" spans="1:15" ht="20.25" x14ac:dyDescent="0.25">
      <c r="A55" s="57"/>
      <c r="B55" s="15"/>
      <c r="C55" s="20"/>
      <c r="D55" s="20"/>
    </row>
    <row r="56" spans="1:15" ht="20.25" x14ac:dyDescent="0.25">
      <c r="A56" s="57"/>
      <c r="B56" s="15"/>
      <c r="C56" s="20"/>
      <c r="D56" s="20"/>
    </row>
    <row r="57" spans="1:15" ht="20.25" x14ac:dyDescent="0.25">
      <c r="A57" s="57"/>
      <c r="B57" s="15"/>
      <c r="C57" s="20"/>
      <c r="D57" s="20"/>
    </row>
    <row r="58" spans="1:15" ht="20.25" x14ac:dyDescent="0.25">
      <c r="A58" s="57"/>
      <c r="B58" s="15"/>
      <c r="C58" s="20"/>
      <c r="D58" s="20"/>
    </row>
    <row r="59" spans="1:15" ht="20.25" x14ac:dyDescent="0.25">
      <c r="A59" s="57"/>
      <c r="B59" s="15"/>
      <c r="C59" s="20"/>
      <c r="D59" s="20"/>
    </row>
    <row r="60" spans="1:15" ht="20.25" x14ac:dyDescent="0.25">
      <c r="A60" s="57"/>
      <c r="B60" s="15"/>
      <c r="C60" s="20"/>
      <c r="D60" s="20"/>
    </row>
    <row r="61" spans="1:15" ht="20.25" x14ac:dyDescent="0.25">
      <c r="A61" s="57"/>
      <c r="B61" s="15"/>
      <c r="C61" s="20"/>
      <c r="D61" s="20"/>
    </row>
    <row r="62" spans="1:15" ht="20.25" x14ac:dyDescent="0.25">
      <c r="A62" s="57"/>
      <c r="B62" s="15"/>
      <c r="C62" s="20"/>
      <c r="D62" s="20"/>
    </row>
    <row r="63" spans="1:15" ht="20.25" x14ac:dyDescent="0.25">
      <c r="A63" s="57"/>
      <c r="B63" s="15"/>
      <c r="C63" s="20"/>
      <c r="D63" s="20"/>
    </row>
    <row r="64" spans="1:15" ht="20.25" x14ac:dyDescent="0.25">
      <c r="A64" s="57"/>
      <c r="B64" s="15"/>
      <c r="C64" s="20"/>
      <c r="D64" s="20"/>
    </row>
    <row r="65" spans="1:4" ht="20.25" x14ac:dyDescent="0.25">
      <c r="A65" s="57"/>
      <c r="B65" s="15"/>
      <c r="C65" s="20"/>
      <c r="D65" s="20"/>
    </row>
    <row r="66" spans="1:4" ht="20.25" x14ac:dyDescent="0.25">
      <c r="A66" s="57"/>
      <c r="B66" s="15"/>
      <c r="C66" s="20"/>
      <c r="D66" s="20"/>
    </row>
    <row r="67" spans="1:4" ht="20.25" x14ac:dyDescent="0.25">
      <c r="A67" s="57"/>
      <c r="B67" s="15"/>
      <c r="C67" s="20"/>
      <c r="D67" s="20"/>
    </row>
    <row r="68" spans="1:4" ht="20.25" x14ac:dyDescent="0.25">
      <c r="A68" s="57"/>
      <c r="B68" s="15"/>
      <c r="C68" s="20"/>
      <c r="D68" s="20"/>
    </row>
    <row r="69" spans="1:4" ht="20.25" x14ac:dyDescent="0.25">
      <c r="A69" s="57"/>
      <c r="B69" s="15"/>
      <c r="C69" s="20"/>
      <c r="D69" s="20"/>
    </row>
    <row r="70" spans="1:4" ht="20.25" x14ac:dyDescent="0.25">
      <c r="A70" s="57"/>
      <c r="B70" s="15"/>
      <c r="C70" s="20"/>
      <c r="D70" s="20"/>
    </row>
    <row r="71" spans="1:4" ht="20.25" x14ac:dyDescent="0.25">
      <c r="A71" s="57"/>
      <c r="B71" s="15"/>
      <c r="C71" s="20"/>
      <c r="D71" s="20"/>
    </row>
    <row r="72" spans="1:4" ht="20.25" x14ac:dyDescent="0.25">
      <c r="A72" s="57"/>
      <c r="B72" s="15"/>
      <c r="C72" s="20"/>
      <c r="D72" s="20"/>
    </row>
    <row r="73" spans="1:4" ht="20.25" x14ac:dyDescent="0.25">
      <c r="A73" s="57"/>
      <c r="B73" s="15"/>
      <c r="C73" s="20"/>
      <c r="D73" s="20"/>
    </row>
    <row r="74" spans="1:4" ht="20.25" x14ac:dyDescent="0.25">
      <c r="A74" s="57"/>
      <c r="B74" s="15"/>
      <c r="C74" s="20"/>
      <c r="D74" s="20"/>
    </row>
    <row r="75" spans="1:4" ht="20.25" x14ac:dyDescent="0.25">
      <c r="A75" s="57"/>
      <c r="B75" s="15"/>
      <c r="C75" s="20"/>
      <c r="D75" s="20"/>
    </row>
    <row r="76" spans="1:4" ht="20.25" x14ac:dyDescent="0.25">
      <c r="A76" s="57"/>
      <c r="B76" s="15"/>
      <c r="C76" s="20"/>
      <c r="D76" s="20"/>
    </row>
    <row r="77" spans="1:4" ht="20.25" x14ac:dyDescent="0.25">
      <c r="A77" s="57"/>
      <c r="B77" s="15"/>
      <c r="C77" s="20"/>
      <c r="D77" s="20"/>
    </row>
    <row r="78" spans="1:4" ht="20.25" x14ac:dyDescent="0.25">
      <c r="A78" s="57"/>
      <c r="B78" s="15"/>
      <c r="C78" s="20"/>
      <c r="D78" s="20"/>
    </row>
    <row r="79" spans="1:4" ht="20.25" x14ac:dyDescent="0.25">
      <c r="A79" s="57"/>
      <c r="B79" s="15"/>
      <c r="C79" s="20"/>
      <c r="D79" s="20"/>
    </row>
    <row r="80" spans="1:4" ht="20.25" x14ac:dyDescent="0.25">
      <c r="A80" s="57"/>
      <c r="B80" s="15"/>
      <c r="C80" s="20"/>
      <c r="D80" s="20"/>
    </row>
    <row r="81" spans="1:4" ht="20.25" x14ac:dyDescent="0.25">
      <c r="A81" s="57"/>
      <c r="B81" s="15"/>
      <c r="C81" s="20"/>
      <c r="D81" s="20"/>
    </row>
    <row r="82" spans="1:4" ht="20.25" x14ac:dyDescent="0.25">
      <c r="A82" s="57"/>
      <c r="B82" s="15"/>
      <c r="C82" s="20"/>
      <c r="D82" s="20"/>
    </row>
    <row r="83" spans="1:4" ht="20.25" x14ac:dyDescent="0.25">
      <c r="A83" s="57"/>
      <c r="B83" s="15"/>
      <c r="C83" s="20"/>
      <c r="D83" s="20"/>
    </row>
    <row r="84" spans="1:4" ht="20.25" x14ac:dyDescent="0.25">
      <c r="A84" s="57"/>
      <c r="B84" s="15"/>
      <c r="C84" s="20"/>
      <c r="D84" s="20"/>
    </row>
    <row r="85" spans="1:4" ht="20.25" x14ac:dyDescent="0.25">
      <c r="A85" s="57"/>
      <c r="B85" s="15"/>
      <c r="C85" s="20"/>
      <c r="D85" s="20"/>
    </row>
    <row r="86" spans="1:4" ht="20.25" x14ac:dyDescent="0.25">
      <c r="A86" s="57"/>
      <c r="B86" s="15"/>
      <c r="C86" s="20"/>
      <c r="D86" s="20"/>
    </row>
    <row r="87" spans="1:4" ht="20.25" x14ac:dyDescent="0.25">
      <c r="A87" s="57"/>
      <c r="B87" s="15"/>
      <c r="C87" s="20"/>
      <c r="D87" s="20"/>
    </row>
    <row r="88" spans="1:4" ht="20.25" x14ac:dyDescent="0.25">
      <c r="A88" s="57"/>
      <c r="B88" s="15"/>
      <c r="C88" s="20"/>
      <c r="D88" s="20"/>
    </row>
    <row r="89" spans="1:4" ht="20.25" x14ac:dyDescent="0.25">
      <c r="A89" s="57"/>
      <c r="B89" s="15"/>
      <c r="C89" s="20"/>
      <c r="D89" s="20"/>
    </row>
    <row r="90" spans="1:4" ht="20.25" x14ac:dyDescent="0.25">
      <c r="A90" s="57"/>
      <c r="B90" s="15"/>
      <c r="C90" s="20"/>
      <c r="D90" s="20"/>
    </row>
    <row r="91" spans="1:4" ht="20.25" x14ac:dyDescent="0.25">
      <c r="A91" s="57"/>
      <c r="B91" s="15"/>
      <c r="C91" s="20"/>
      <c r="D91" s="20"/>
    </row>
    <row r="92" spans="1:4" ht="20.25" x14ac:dyDescent="0.25">
      <c r="A92" s="57"/>
      <c r="B92" s="15"/>
      <c r="C92" s="20"/>
      <c r="D92" s="20"/>
    </row>
    <row r="93" spans="1:4" ht="20.25" x14ac:dyDescent="0.25">
      <c r="A93" s="57"/>
      <c r="B93" s="15"/>
      <c r="C93" s="20"/>
      <c r="D93" s="20"/>
    </row>
    <row r="94" spans="1:4" ht="20.25" x14ac:dyDescent="0.25">
      <c r="A94" s="57"/>
      <c r="B94" s="15"/>
      <c r="C94" s="20"/>
      <c r="D94" s="20"/>
    </row>
    <row r="95" spans="1:4" ht="20.25" x14ac:dyDescent="0.25">
      <c r="A95" s="57"/>
      <c r="B95" s="15"/>
      <c r="C95" s="20"/>
      <c r="D95" s="20"/>
    </row>
    <row r="96" spans="1:4" ht="20.25" x14ac:dyDescent="0.25">
      <c r="A96" s="57"/>
      <c r="B96" s="15"/>
      <c r="C96" s="20"/>
      <c r="D96" s="20"/>
    </row>
    <row r="97" spans="1:4" ht="20.25" x14ac:dyDescent="0.25">
      <c r="A97" s="57"/>
      <c r="B97" s="15"/>
      <c r="C97" s="20"/>
      <c r="D97" s="20"/>
    </row>
    <row r="98" spans="1:4" ht="20.25" x14ac:dyDescent="0.25">
      <c r="A98" s="57"/>
      <c r="B98" s="15"/>
      <c r="C98" s="20"/>
      <c r="D98" s="20"/>
    </row>
    <row r="99" spans="1:4" ht="20.25" x14ac:dyDescent="0.25">
      <c r="A99" s="57"/>
      <c r="B99" s="15"/>
      <c r="C99" s="20"/>
      <c r="D99" s="20"/>
    </row>
    <row r="100" spans="1:4" ht="20.25" x14ac:dyDescent="0.25">
      <c r="A100" s="57"/>
      <c r="B100" s="15"/>
      <c r="C100" s="20"/>
      <c r="D100" s="20"/>
    </row>
    <row r="101" spans="1:4" ht="20.25" x14ac:dyDescent="0.25">
      <c r="A101" s="57"/>
      <c r="B101" s="15"/>
      <c r="C101" s="20"/>
      <c r="D101" s="20"/>
    </row>
    <row r="102" spans="1:4" ht="20.25" x14ac:dyDescent="0.25">
      <c r="A102" s="57"/>
      <c r="B102" s="15"/>
      <c r="C102" s="20"/>
      <c r="D102" s="20"/>
    </row>
    <row r="103" spans="1:4" ht="20.25" x14ac:dyDescent="0.25">
      <c r="A103" s="57"/>
      <c r="B103" s="15"/>
      <c r="C103" s="20"/>
      <c r="D103" s="20"/>
    </row>
    <row r="104" spans="1:4" ht="20.25" x14ac:dyDescent="0.25">
      <c r="A104" s="57"/>
      <c r="B104" s="15"/>
      <c r="C104" s="20"/>
      <c r="D104" s="20"/>
    </row>
    <row r="105" spans="1:4" ht="20.25" x14ac:dyDescent="0.25">
      <c r="A105" s="57"/>
      <c r="B105" s="15"/>
      <c r="C105" s="20"/>
      <c r="D105" s="20"/>
    </row>
    <row r="106" spans="1:4" ht="20.25" x14ac:dyDescent="0.25">
      <c r="A106" s="57"/>
      <c r="B106" s="15"/>
      <c r="C106" s="20"/>
      <c r="D106" s="20"/>
    </row>
    <row r="107" spans="1:4" ht="20.25" x14ac:dyDescent="0.25">
      <c r="A107" s="57"/>
      <c r="B107" s="15"/>
      <c r="C107" s="20"/>
      <c r="D107" s="20"/>
    </row>
    <row r="108" spans="1:4" ht="20.25" x14ac:dyDescent="0.25">
      <c r="A108" s="57"/>
      <c r="B108" s="15"/>
      <c r="C108" s="20"/>
      <c r="D108" s="20"/>
    </row>
    <row r="109" spans="1:4" ht="20.25" x14ac:dyDescent="0.25">
      <c r="A109" s="57"/>
      <c r="B109" s="15"/>
      <c r="C109" s="20"/>
      <c r="D109" s="20"/>
    </row>
    <row r="110" spans="1:4" ht="20.25" x14ac:dyDescent="0.25">
      <c r="A110" s="57"/>
      <c r="B110" s="15"/>
      <c r="C110" s="20"/>
      <c r="D110" s="20"/>
    </row>
    <row r="111" spans="1:4" ht="20.25" x14ac:dyDescent="0.25">
      <c r="A111" s="57"/>
      <c r="B111" s="15"/>
      <c r="C111" s="20"/>
      <c r="D111" s="20"/>
    </row>
    <row r="112" spans="1:4" ht="20.25" x14ac:dyDescent="0.25">
      <c r="A112" s="57"/>
      <c r="B112" s="15"/>
      <c r="C112" s="20"/>
      <c r="D112" s="20"/>
    </row>
    <row r="113" spans="1:4" ht="20.25" x14ac:dyDescent="0.25">
      <c r="A113" s="57"/>
      <c r="B113" s="15"/>
      <c r="C113" s="20"/>
      <c r="D113" s="20"/>
    </row>
    <row r="114" spans="1:4" ht="20.25" x14ac:dyDescent="0.25">
      <c r="A114" s="57"/>
      <c r="B114" s="15"/>
      <c r="C114" s="20"/>
      <c r="D114" s="20"/>
    </row>
    <row r="115" spans="1:4" ht="20.25" x14ac:dyDescent="0.25">
      <c r="A115" s="57"/>
      <c r="B115" s="15"/>
      <c r="C115" s="20"/>
      <c r="D115" s="20"/>
    </row>
    <row r="116" spans="1:4" ht="20.25" x14ac:dyDescent="0.25">
      <c r="A116" s="57"/>
      <c r="B116" s="15"/>
      <c r="C116" s="20"/>
      <c r="D116" s="20"/>
    </row>
    <row r="117" spans="1:4" ht="20.25" x14ac:dyDescent="0.25">
      <c r="A117" s="57"/>
      <c r="B117" s="15"/>
      <c r="C117" s="20"/>
      <c r="D117" s="20"/>
    </row>
    <row r="118" spans="1:4" ht="20.25" x14ac:dyDescent="0.25">
      <c r="A118" s="57"/>
      <c r="B118" s="15"/>
      <c r="C118" s="20"/>
      <c r="D118" s="20"/>
    </row>
    <row r="119" spans="1:4" ht="20.25" x14ac:dyDescent="0.25">
      <c r="A119" s="57"/>
      <c r="B119" s="15"/>
      <c r="C119" s="20"/>
      <c r="D119" s="20"/>
    </row>
    <row r="120" spans="1:4" ht="20.25" x14ac:dyDescent="0.25">
      <c r="A120" s="57"/>
      <c r="B120" s="15"/>
      <c r="C120" s="20"/>
      <c r="D120" s="20"/>
    </row>
    <row r="121" spans="1:4" ht="20.25" x14ac:dyDescent="0.25">
      <c r="A121" s="57"/>
      <c r="B121" s="15"/>
      <c r="C121" s="20"/>
      <c r="D121" s="20"/>
    </row>
    <row r="122" spans="1:4" ht="20.25" x14ac:dyDescent="0.25">
      <c r="A122" s="57"/>
      <c r="B122" s="15"/>
      <c r="C122" s="20"/>
      <c r="D122" s="20"/>
    </row>
    <row r="123" spans="1:4" ht="20.25" x14ac:dyDescent="0.25">
      <c r="A123" s="57"/>
      <c r="B123" s="15"/>
      <c r="C123" s="20"/>
      <c r="D123" s="20"/>
    </row>
    <row r="124" spans="1:4" ht="20.25" x14ac:dyDescent="0.25">
      <c r="A124" s="57"/>
      <c r="B124" s="15"/>
      <c r="C124" s="20"/>
      <c r="D124" s="20"/>
    </row>
    <row r="125" spans="1:4" ht="20.25" x14ac:dyDescent="0.25">
      <c r="A125" s="57"/>
      <c r="B125" s="15"/>
      <c r="C125" s="20"/>
      <c r="D125" s="20"/>
    </row>
    <row r="126" spans="1:4" ht="20.25" x14ac:dyDescent="0.25">
      <c r="A126" s="57"/>
      <c r="B126" s="15"/>
      <c r="C126" s="20"/>
      <c r="D126" s="20"/>
    </row>
    <row r="127" spans="1:4" ht="20.25" x14ac:dyDescent="0.25">
      <c r="A127" s="57"/>
      <c r="B127" s="15"/>
      <c r="C127" s="20"/>
      <c r="D127" s="20"/>
    </row>
    <row r="128" spans="1:4" ht="20.25" x14ac:dyDescent="0.25">
      <c r="A128" s="57"/>
      <c r="B128" s="15"/>
      <c r="C128" s="20"/>
      <c r="D128" s="20"/>
    </row>
    <row r="129" spans="1:4" ht="20.25" x14ac:dyDescent="0.25">
      <c r="A129" s="57"/>
      <c r="B129" s="15"/>
      <c r="C129" s="20"/>
      <c r="D129" s="20"/>
    </row>
    <row r="130" spans="1:4" ht="20.25" x14ac:dyDescent="0.25">
      <c r="A130" s="57"/>
      <c r="B130" s="15"/>
      <c r="C130" s="20"/>
      <c r="D130" s="20"/>
    </row>
    <row r="131" spans="1:4" ht="20.25" x14ac:dyDescent="0.25">
      <c r="A131" s="57"/>
      <c r="B131" s="15"/>
      <c r="C131" s="20"/>
      <c r="D131" s="20"/>
    </row>
    <row r="132" spans="1:4" ht="20.25" x14ac:dyDescent="0.25">
      <c r="A132" s="57"/>
      <c r="B132" s="15"/>
      <c r="C132" s="20"/>
      <c r="D132" s="20"/>
    </row>
    <row r="133" spans="1:4" ht="20.25" x14ac:dyDescent="0.25">
      <c r="A133" s="57"/>
      <c r="B133" s="15"/>
      <c r="C133" s="20"/>
      <c r="D133" s="20"/>
    </row>
    <row r="134" spans="1:4" ht="20.25" x14ac:dyDescent="0.25">
      <c r="A134" s="57"/>
      <c r="B134" s="15"/>
      <c r="C134" s="20"/>
      <c r="D134" s="20"/>
    </row>
    <row r="135" spans="1:4" ht="20.25" x14ac:dyDescent="0.25">
      <c r="A135" s="57"/>
      <c r="B135" s="15"/>
      <c r="C135" s="20"/>
      <c r="D135" s="20"/>
    </row>
    <row r="136" spans="1:4" ht="20.25" x14ac:dyDescent="0.25">
      <c r="A136" s="57"/>
      <c r="B136" s="15"/>
      <c r="C136" s="20"/>
      <c r="D136" s="20"/>
    </row>
    <row r="137" spans="1:4" ht="20.25" x14ac:dyDescent="0.25">
      <c r="A137" s="57"/>
      <c r="B137" s="15"/>
      <c r="C137" s="20"/>
      <c r="D137" s="20"/>
    </row>
    <row r="138" spans="1:4" ht="20.25" x14ac:dyDescent="0.25">
      <c r="A138" s="57"/>
      <c r="B138" s="15"/>
      <c r="C138" s="20"/>
      <c r="D138" s="20"/>
    </row>
    <row r="139" spans="1:4" ht="20.25" x14ac:dyDescent="0.25">
      <c r="A139" s="57"/>
      <c r="B139" s="15"/>
      <c r="C139" s="20"/>
      <c r="D139" s="20"/>
    </row>
    <row r="140" spans="1:4" ht="20.25" x14ac:dyDescent="0.25">
      <c r="A140" s="57"/>
      <c r="B140" s="15"/>
      <c r="C140" s="20"/>
      <c r="D140" s="20"/>
    </row>
    <row r="141" spans="1:4" ht="20.25" x14ac:dyDescent="0.25">
      <c r="A141" s="57"/>
      <c r="B141" s="15"/>
      <c r="C141" s="20"/>
      <c r="D141" s="20"/>
    </row>
    <row r="142" spans="1:4" ht="20.25" x14ac:dyDescent="0.25">
      <c r="A142" s="57"/>
      <c r="B142" s="15"/>
      <c r="C142" s="20"/>
      <c r="D142" s="20"/>
    </row>
    <row r="143" spans="1:4" ht="20.25" x14ac:dyDescent="0.25">
      <c r="A143" s="57"/>
      <c r="B143" s="15"/>
      <c r="C143" s="20"/>
      <c r="D143" s="20"/>
    </row>
    <row r="144" spans="1:4" ht="20.25" x14ac:dyDescent="0.25">
      <c r="A144" s="57"/>
      <c r="B144" s="15"/>
      <c r="C144" s="20"/>
      <c r="D144" s="20"/>
    </row>
    <row r="145" spans="1:4" ht="20.25" x14ac:dyDescent="0.25">
      <c r="A145" s="57"/>
      <c r="B145" s="15"/>
      <c r="C145" s="20"/>
      <c r="D145" s="20"/>
    </row>
    <row r="146" spans="1:4" ht="20.25" x14ac:dyDescent="0.25">
      <c r="A146" s="57"/>
      <c r="B146" s="15"/>
      <c r="C146" s="20"/>
      <c r="D146" s="20"/>
    </row>
    <row r="147" spans="1:4" ht="20.25" x14ac:dyDescent="0.25">
      <c r="A147" s="57"/>
      <c r="B147" s="15"/>
      <c r="C147" s="20"/>
      <c r="D147" s="20"/>
    </row>
    <row r="148" spans="1:4" ht="20.25" x14ac:dyDescent="0.25">
      <c r="A148" s="57"/>
      <c r="B148" s="15"/>
      <c r="C148" s="20"/>
      <c r="D148" s="20"/>
    </row>
    <row r="149" spans="1:4" ht="20.25" x14ac:dyDescent="0.25">
      <c r="A149" s="57"/>
      <c r="B149" s="15"/>
      <c r="C149" s="20"/>
      <c r="D149" s="20"/>
    </row>
    <row r="150" spans="1:4" ht="20.25" x14ac:dyDescent="0.25">
      <c r="A150" s="57"/>
      <c r="B150" s="15"/>
      <c r="C150" s="20"/>
      <c r="D150" s="20"/>
    </row>
    <row r="151" spans="1:4" ht="20.25" x14ac:dyDescent="0.25">
      <c r="A151" s="57"/>
      <c r="B151" s="15"/>
      <c r="C151" s="20"/>
      <c r="D151" s="20"/>
    </row>
    <row r="152" spans="1:4" ht="20.25" x14ac:dyDescent="0.25">
      <c r="A152" s="57"/>
      <c r="B152" s="15"/>
      <c r="C152" s="20"/>
      <c r="D152" s="20"/>
    </row>
    <row r="153" spans="1:4" ht="20.25" x14ac:dyDescent="0.25">
      <c r="A153" s="57"/>
      <c r="B153" s="15"/>
      <c r="C153" s="20"/>
      <c r="D153" s="20"/>
    </row>
    <row r="154" spans="1:4" ht="20.25" x14ac:dyDescent="0.25">
      <c r="A154" s="57"/>
      <c r="B154" s="15"/>
      <c r="C154" s="20"/>
      <c r="D154" s="20"/>
    </row>
    <row r="155" spans="1:4" ht="20.25" x14ac:dyDescent="0.25">
      <c r="A155" s="57"/>
      <c r="B155" s="15"/>
      <c r="C155" s="20"/>
      <c r="D155" s="20"/>
    </row>
    <row r="156" spans="1:4" ht="20.25" x14ac:dyDescent="0.25">
      <c r="A156" s="57"/>
      <c r="B156" s="15"/>
      <c r="C156" s="20"/>
      <c r="D156" s="20"/>
    </row>
    <row r="157" spans="1:4" ht="20.25" x14ac:dyDescent="0.25">
      <c r="A157" s="57"/>
      <c r="B157" s="15"/>
      <c r="C157" s="20"/>
      <c r="D157" s="20"/>
    </row>
    <row r="158" spans="1:4" ht="20.25" x14ac:dyDescent="0.25">
      <c r="A158" s="57"/>
      <c r="B158" s="15"/>
      <c r="C158" s="20"/>
      <c r="D158" s="20"/>
    </row>
    <row r="159" spans="1:4" ht="20.25" x14ac:dyDescent="0.25">
      <c r="A159" s="57"/>
      <c r="B159" s="15"/>
      <c r="C159" s="20"/>
      <c r="D159" s="20"/>
    </row>
    <row r="160" spans="1:4" ht="20.25" x14ac:dyDescent="0.25">
      <c r="A160" s="57"/>
      <c r="B160" s="15"/>
      <c r="C160" s="20"/>
      <c r="D160" s="20"/>
    </row>
    <row r="161" spans="1:4" ht="20.25" x14ac:dyDescent="0.25">
      <c r="A161" s="57"/>
      <c r="B161" s="15"/>
      <c r="C161" s="20"/>
      <c r="D161" s="20"/>
    </row>
    <row r="162" spans="1:4" ht="20.25" x14ac:dyDescent="0.25">
      <c r="A162" s="57"/>
      <c r="B162" s="15"/>
      <c r="C162" s="20"/>
      <c r="D162" s="20"/>
    </row>
    <row r="163" spans="1:4" ht="20.25" x14ac:dyDescent="0.25">
      <c r="A163" s="57"/>
      <c r="B163" s="15"/>
      <c r="C163" s="20"/>
      <c r="D163" s="20"/>
    </row>
    <row r="164" spans="1:4" ht="20.25" x14ac:dyDescent="0.25">
      <c r="A164" s="57"/>
      <c r="B164" s="15"/>
      <c r="C164" s="20"/>
      <c r="D164" s="20"/>
    </row>
    <row r="165" spans="1:4" ht="20.25" x14ac:dyDescent="0.25">
      <c r="A165" s="57"/>
      <c r="B165" s="15"/>
      <c r="C165" s="20"/>
      <c r="D165" s="20"/>
    </row>
    <row r="166" spans="1:4" ht="20.25" x14ac:dyDescent="0.25">
      <c r="A166" s="57"/>
      <c r="B166" s="15"/>
      <c r="C166" s="20"/>
      <c r="D166" s="20"/>
    </row>
    <row r="167" spans="1:4" ht="20.25" x14ac:dyDescent="0.25">
      <c r="A167" s="57"/>
      <c r="B167" s="15"/>
      <c r="C167" s="20"/>
      <c r="D167" s="20"/>
    </row>
    <row r="168" spans="1:4" ht="20.25" x14ac:dyDescent="0.25">
      <c r="A168" s="57"/>
      <c r="B168" s="15"/>
      <c r="C168" s="20"/>
      <c r="D168" s="20"/>
    </row>
    <row r="169" spans="1:4" ht="20.25" x14ac:dyDescent="0.25">
      <c r="A169" s="57"/>
      <c r="B169" s="15"/>
      <c r="C169" s="20"/>
      <c r="D169" s="20"/>
    </row>
    <row r="170" spans="1:4" ht="20.25" x14ac:dyDescent="0.25">
      <c r="A170" s="57"/>
      <c r="B170" s="15"/>
      <c r="C170" s="20"/>
      <c r="D170" s="20"/>
    </row>
    <row r="171" spans="1:4" ht="20.25" x14ac:dyDescent="0.25">
      <c r="A171" s="57"/>
      <c r="B171" s="15"/>
      <c r="C171" s="20"/>
      <c r="D171" s="20"/>
    </row>
    <row r="172" spans="1:4" ht="20.25" x14ac:dyDescent="0.25">
      <c r="A172" s="57"/>
      <c r="B172" s="15"/>
      <c r="C172" s="20"/>
      <c r="D172" s="20"/>
    </row>
    <row r="173" spans="1:4" ht="20.25" x14ac:dyDescent="0.25">
      <c r="A173" s="57"/>
      <c r="B173" s="15"/>
      <c r="C173" s="20"/>
      <c r="D173" s="20"/>
    </row>
    <row r="174" spans="1:4" ht="20.25" x14ac:dyDescent="0.25">
      <c r="A174" s="57"/>
      <c r="B174" s="15"/>
      <c r="C174" s="20"/>
      <c r="D174" s="20"/>
    </row>
    <row r="175" spans="1:4" ht="20.25" x14ac:dyDescent="0.25">
      <c r="A175" s="57"/>
      <c r="B175" s="15"/>
      <c r="C175" s="20"/>
      <c r="D175" s="20"/>
    </row>
    <row r="176" spans="1:4" ht="20.25" x14ac:dyDescent="0.25">
      <c r="A176" s="57"/>
      <c r="B176" s="15"/>
      <c r="C176" s="20"/>
      <c r="D176" s="20"/>
    </row>
    <row r="177" spans="1:4" ht="20.25" x14ac:dyDescent="0.25">
      <c r="A177" s="57"/>
      <c r="B177" s="15"/>
      <c r="C177" s="20"/>
      <c r="D177" s="20"/>
    </row>
    <row r="178" spans="1:4" ht="20.25" x14ac:dyDescent="0.25">
      <c r="A178" s="57"/>
      <c r="B178" s="15"/>
      <c r="C178" s="20"/>
      <c r="D178" s="20"/>
    </row>
    <row r="179" spans="1:4" ht="20.25" x14ac:dyDescent="0.25">
      <c r="A179" s="57"/>
      <c r="B179" s="15"/>
      <c r="C179" s="20"/>
      <c r="D179" s="20"/>
    </row>
    <row r="180" spans="1:4" ht="20.25" x14ac:dyDescent="0.25">
      <c r="A180" s="57"/>
      <c r="B180" s="15"/>
      <c r="C180" s="20"/>
      <c r="D180" s="20"/>
    </row>
    <row r="181" spans="1:4" ht="20.25" x14ac:dyDescent="0.25">
      <c r="A181" s="57"/>
      <c r="B181" s="15"/>
      <c r="C181" s="20"/>
      <c r="D181" s="20"/>
    </row>
    <row r="182" spans="1:4" ht="20.25" x14ac:dyDescent="0.25">
      <c r="A182" s="57"/>
      <c r="B182" s="15"/>
      <c r="C182" s="20"/>
      <c r="D182" s="20"/>
    </row>
    <row r="183" spans="1:4" ht="20.25" x14ac:dyDescent="0.25">
      <c r="A183" s="57"/>
      <c r="B183" s="15"/>
      <c r="C183" s="20"/>
      <c r="D183" s="20"/>
    </row>
    <row r="184" spans="1:4" ht="20.25" x14ac:dyDescent="0.25">
      <c r="A184" s="57"/>
      <c r="B184" s="15"/>
      <c r="C184" s="20"/>
      <c r="D184" s="20"/>
    </row>
    <row r="185" spans="1:4" ht="20.25" x14ac:dyDescent="0.25">
      <c r="A185" s="57"/>
      <c r="B185" s="15"/>
      <c r="C185" s="20"/>
      <c r="D185" s="20"/>
    </row>
    <row r="186" spans="1:4" ht="20.25" x14ac:dyDescent="0.25">
      <c r="A186" s="57"/>
      <c r="B186" s="15"/>
      <c r="C186" s="20"/>
      <c r="D186" s="20"/>
    </row>
    <row r="187" spans="1:4" ht="20.25" x14ac:dyDescent="0.25">
      <c r="A187" s="57"/>
      <c r="B187" s="15"/>
      <c r="C187" s="20"/>
      <c r="D187" s="20"/>
    </row>
    <row r="188" spans="1:4" ht="20.25" x14ac:dyDescent="0.25">
      <c r="A188" s="57"/>
      <c r="B188" s="15"/>
      <c r="C188" s="20"/>
      <c r="D188" s="20"/>
    </row>
    <row r="189" spans="1:4" ht="20.25" x14ac:dyDescent="0.25">
      <c r="A189" s="57"/>
      <c r="B189" s="15"/>
      <c r="C189" s="20"/>
      <c r="D189" s="20"/>
    </row>
    <row r="190" spans="1:4" ht="20.25" x14ac:dyDescent="0.25">
      <c r="A190" s="57"/>
      <c r="B190" s="15"/>
      <c r="C190" s="20"/>
      <c r="D190" s="20"/>
    </row>
    <row r="191" spans="1:4" ht="20.25" x14ac:dyDescent="0.25">
      <c r="A191" s="57"/>
      <c r="B191" s="15"/>
      <c r="C191" s="20"/>
      <c r="D191" s="20"/>
    </row>
    <row r="192" spans="1:4" ht="20.25" x14ac:dyDescent="0.25">
      <c r="A192" s="57"/>
      <c r="B192" s="15"/>
      <c r="C192" s="20"/>
      <c r="D192" s="20"/>
    </row>
    <row r="193" spans="1:4" ht="20.25" x14ac:dyDescent="0.25">
      <c r="A193" s="57"/>
      <c r="B193" s="15"/>
      <c r="C193" s="20"/>
      <c r="D193" s="20"/>
    </row>
    <row r="194" spans="1:4" ht="20.25" x14ac:dyDescent="0.25">
      <c r="A194" s="57"/>
      <c r="B194" s="15"/>
      <c r="C194" s="20"/>
      <c r="D194" s="20"/>
    </row>
    <row r="195" spans="1:4" ht="20.25" x14ac:dyDescent="0.25">
      <c r="A195" s="57"/>
      <c r="B195" s="15"/>
      <c r="C195" s="20"/>
      <c r="D195" s="20"/>
    </row>
    <row r="196" spans="1:4" ht="20.25" x14ac:dyDescent="0.25">
      <c r="A196" s="57"/>
      <c r="B196" s="15"/>
      <c r="C196" s="20"/>
      <c r="D196" s="20"/>
    </row>
    <row r="197" spans="1:4" ht="20.25" x14ac:dyDescent="0.25">
      <c r="A197" s="57"/>
      <c r="B197" s="15"/>
      <c r="C197" s="20"/>
      <c r="D197" s="20"/>
    </row>
    <row r="198" spans="1:4" ht="20.25" x14ac:dyDescent="0.25">
      <c r="A198" s="57"/>
      <c r="B198" s="15"/>
      <c r="C198" s="20"/>
      <c r="D198" s="20"/>
    </row>
    <row r="199" spans="1:4" ht="20.25" x14ac:dyDescent="0.25">
      <c r="A199" s="57"/>
      <c r="B199" s="15"/>
      <c r="C199" s="20"/>
      <c r="D199" s="20"/>
    </row>
    <row r="200" spans="1:4" ht="20.25" x14ac:dyDescent="0.25">
      <c r="A200" s="57"/>
      <c r="B200" s="15"/>
      <c r="C200" s="20"/>
      <c r="D200" s="20"/>
    </row>
    <row r="201" spans="1:4" ht="20.25" x14ac:dyDescent="0.25">
      <c r="A201" s="57"/>
      <c r="B201" s="15"/>
      <c r="C201" s="20"/>
      <c r="D201" s="20"/>
    </row>
    <row r="202" spans="1:4" ht="20.25" x14ac:dyDescent="0.25">
      <c r="A202" s="57"/>
      <c r="B202" s="15"/>
      <c r="C202" s="20"/>
      <c r="D202" s="20"/>
    </row>
    <row r="203" spans="1:4" ht="20.25" x14ac:dyDescent="0.25">
      <c r="A203" s="57"/>
      <c r="B203" s="15"/>
      <c r="C203" s="20"/>
      <c r="D203" s="20"/>
    </row>
    <row r="204" spans="1:4" ht="20.25" x14ac:dyDescent="0.25">
      <c r="A204" s="57"/>
      <c r="B204" s="15"/>
      <c r="C204" s="20"/>
      <c r="D204" s="20"/>
    </row>
    <row r="205" spans="1:4" ht="20.25" x14ac:dyDescent="0.25">
      <c r="A205" s="57"/>
      <c r="B205" s="15"/>
      <c r="C205" s="20"/>
      <c r="D205" s="20"/>
    </row>
    <row r="206" spans="1:4" ht="20.25" x14ac:dyDescent="0.25">
      <c r="A206" s="57"/>
      <c r="B206" s="15"/>
      <c r="C206" s="20"/>
      <c r="D206" s="20"/>
    </row>
    <row r="207" spans="1:4" ht="20.25" x14ac:dyDescent="0.25">
      <c r="A207" s="57"/>
      <c r="B207" s="15"/>
      <c r="C207" s="20"/>
      <c r="D207" s="20"/>
    </row>
    <row r="208" spans="1:4" x14ac:dyDescent="0.25">
      <c r="A208" s="37"/>
      <c r="B208" s="15"/>
      <c r="C208" s="15"/>
      <c r="D208" s="15"/>
    </row>
    <row r="209" spans="1:8" ht="20.25" x14ac:dyDescent="0.25">
      <c r="A209" s="37"/>
      <c r="B209" s="16" t="s">
        <v>88</v>
      </c>
      <c r="C209" s="16" t="s">
        <v>142</v>
      </c>
      <c r="D209" s="19" t="s">
        <v>88</v>
      </c>
      <c r="E209" s="19" t="s">
        <v>142</v>
      </c>
    </row>
    <row r="210" spans="1:8" ht="21" x14ac:dyDescent="0.35">
      <c r="A210" s="37"/>
      <c r="B210" s="17" t="s">
        <v>90</v>
      </c>
      <c r="C210" s="17"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37"/>
      <c r="B211" s="17" t="s">
        <v>90</v>
      </c>
      <c r="C211" s="17" t="s">
        <v>93</v>
      </c>
      <c r="E211" t="s">
        <v>58</v>
      </c>
      <c r="F211" t="str">
        <f t="shared" ref="F211:F221" si="0">IF(NOT(ISBLANK(D211)),D211,IF(NOT(ISBLANK(E211)),"     "&amp;E211,FALSE))</f>
        <v xml:space="preserve">     Afectación menor a 10 SMLMV .</v>
      </c>
    </row>
    <row r="212" spans="1:8" ht="21" x14ac:dyDescent="0.35">
      <c r="A212" s="37"/>
      <c r="B212" s="17" t="s">
        <v>90</v>
      </c>
      <c r="C212" s="17" t="s">
        <v>94</v>
      </c>
      <c r="E212" t="s">
        <v>93</v>
      </c>
      <c r="F212" t="str">
        <f t="shared" si="0"/>
        <v xml:space="preserve">     Entre 10 y 50 SMLMV </v>
      </c>
    </row>
    <row r="213" spans="1:8" ht="21" x14ac:dyDescent="0.35">
      <c r="A213" s="37"/>
      <c r="B213" s="17" t="s">
        <v>90</v>
      </c>
      <c r="C213" s="17" t="s">
        <v>95</v>
      </c>
      <c r="E213" t="s">
        <v>94</v>
      </c>
      <c r="F213" t="str">
        <f t="shared" si="0"/>
        <v xml:space="preserve">     Entre 50 y 100 SMLMV </v>
      </c>
    </row>
    <row r="214" spans="1:8" ht="21" x14ac:dyDescent="0.35">
      <c r="A214" s="37"/>
      <c r="B214" s="17" t="s">
        <v>90</v>
      </c>
      <c r="C214" s="17" t="s">
        <v>96</v>
      </c>
      <c r="E214" t="s">
        <v>95</v>
      </c>
      <c r="F214" t="str">
        <f t="shared" si="0"/>
        <v xml:space="preserve">     Entre 100 y 500 SMLMV </v>
      </c>
    </row>
    <row r="215" spans="1:8" ht="21" x14ac:dyDescent="0.35">
      <c r="A215" s="37"/>
      <c r="B215" s="17" t="s">
        <v>57</v>
      </c>
      <c r="C215" s="17" t="s">
        <v>97</v>
      </c>
      <c r="E215" t="s">
        <v>96</v>
      </c>
      <c r="F215" t="str">
        <f t="shared" si="0"/>
        <v xml:space="preserve">     Mayor a 500 SMLMV </v>
      </c>
    </row>
    <row r="216" spans="1:8" ht="21" x14ac:dyDescent="0.35">
      <c r="A216" s="37"/>
      <c r="B216" s="17" t="s">
        <v>57</v>
      </c>
      <c r="C216" s="17" t="s">
        <v>98</v>
      </c>
      <c r="D216" t="s">
        <v>57</v>
      </c>
      <c r="F216" t="str">
        <f t="shared" si="0"/>
        <v>Pérdida Reputacional</v>
      </c>
    </row>
    <row r="217" spans="1:8" ht="21" x14ac:dyDescent="0.35">
      <c r="A217" s="37"/>
      <c r="B217" s="17" t="s">
        <v>57</v>
      </c>
      <c r="C217" s="17" t="s">
        <v>100</v>
      </c>
      <c r="E217" t="s">
        <v>97</v>
      </c>
      <c r="F217" t="str">
        <f t="shared" si="0"/>
        <v xml:space="preserve">     El riesgo afecta la imagen de alguna área de la organización</v>
      </c>
    </row>
    <row r="218" spans="1:8" ht="21" x14ac:dyDescent="0.35">
      <c r="A218" s="37"/>
      <c r="B218" s="17" t="s">
        <v>57</v>
      </c>
      <c r="C218" s="17" t="s">
        <v>99</v>
      </c>
      <c r="E218" t="s">
        <v>98</v>
      </c>
      <c r="F218" t="str">
        <f t="shared" si="0"/>
        <v xml:space="preserve">     El riesgo afecta la imagen de la entidad internamente, de conocimiento general, nivel interno, de junta dircetiva y accionistas y/o de provedores</v>
      </c>
    </row>
    <row r="219" spans="1:8" ht="21" x14ac:dyDescent="0.35">
      <c r="A219" s="37"/>
      <c r="B219" s="17" t="s">
        <v>57</v>
      </c>
      <c r="C219" s="17" t="s">
        <v>118</v>
      </c>
      <c r="E219" t="s">
        <v>100</v>
      </c>
      <c r="F219" t="str">
        <f t="shared" si="0"/>
        <v xml:space="preserve">     El riesgo afecta la imagen de la entidad con algunos usuarios de relevancia frente al logro de los objetivos</v>
      </c>
    </row>
    <row r="220" spans="1:8" x14ac:dyDescent="0.25">
      <c r="A220" s="37"/>
      <c r="B220" s="18"/>
      <c r="C220" s="18"/>
      <c r="E220" t="s">
        <v>99</v>
      </c>
      <c r="F220" t="str">
        <f t="shared" si="0"/>
        <v xml:space="preserve">     El riesgo afecta la imagen de de la entidad con efecto publicitario sostenido a nivel de sector administrativo, nivel departamental o municipal</v>
      </c>
    </row>
    <row r="221" spans="1:8" x14ac:dyDescent="0.25">
      <c r="A221" s="37"/>
      <c r="B221" s="18" t="str">
        <f t="array" ref="B221:B223">_xlfn.UNIQUE(Tabla1[[#All],[Criterios]])</f>
        <v>Criterios</v>
      </c>
      <c r="C221" s="18"/>
      <c r="E221" t="s">
        <v>118</v>
      </c>
      <c r="F221" t="str">
        <f t="shared" si="0"/>
        <v xml:space="preserve">     El riesgo afecta la imagen de la entidad a nivel nacional, con efecto publicitarios sostenible a nivel país</v>
      </c>
    </row>
    <row r="222" spans="1:8" x14ac:dyDescent="0.25">
      <c r="A222" s="37"/>
      <c r="B222" s="18" t="str">
        <v>Afectación Económica o presupuestal</v>
      </c>
      <c r="C222" s="18"/>
    </row>
    <row r="223" spans="1:8" x14ac:dyDescent="0.25">
      <c r="B223" s="18" t="str">
        <v>Pérdida Reputacional</v>
      </c>
      <c r="C223" s="18"/>
      <c r="F223" s="21" t="s">
        <v>144</v>
      </c>
    </row>
    <row r="224" spans="1:8" x14ac:dyDescent="0.25">
      <c r="B224" s="14"/>
      <c r="C224" s="14"/>
      <c r="F224" s="21" t="s">
        <v>145</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sheetProtection algorithmName="SHA-512" hashValue="qPNlmSxRsd5PK5JeVltN7+6c5Fk/cYXOF91vUoVYieMYVZCurJyYfX7sgal64JxrVXMmDJgh/swPFhkPq+iM+Q==" saltValue="qS/e5+Z4gUYtI8N1AxqG5w==" spinCount="100000" sheet="1" objects="1" scenarios="1"/>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B1" sqref="B1:F1"/>
    </sheetView>
  </sheetViews>
  <sheetFormatPr baseColWidth="10" defaultColWidth="14.28515625" defaultRowHeight="12.75" x14ac:dyDescent="0.2"/>
  <cols>
    <col min="1" max="2" width="14.28515625" style="42"/>
    <col min="3" max="3" width="17" style="42" customWidth="1"/>
    <col min="4" max="4" width="14.28515625" style="42"/>
    <col min="5" max="5" width="46" style="42" customWidth="1"/>
    <col min="6" max="16384" width="14.28515625" style="42"/>
  </cols>
  <sheetData>
    <row r="1" spans="2:6" ht="24" customHeight="1" thickBot="1" x14ac:dyDescent="0.25">
      <c r="B1" s="552" t="s">
        <v>78</v>
      </c>
      <c r="C1" s="553"/>
      <c r="D1" s="553"/>
      <c r="E1" s="553"/>
      <c r="F1" s="554"/>
    </row>
    <row r="2" spans="2:6" ht="16.5" thickBot="1" x14ac:dyDescent="0.3">
      <c r="B2" s="43"/>
      <c r="C2" s="43"/>
      <c r="D2" s="43"/>
      <c r="E2" s="43"/>
      <c r="F2" s="43"/>
    </row>
    <row r="3" spans="2:6" ht="16.5" thickBot="1" x14ac:dyDescent="0.25">
      <c r="B3" s="556" t="s">
        <v>64</v>
      </c>
      <c r="C3" s="557"/>
      <c r="D3" s="557"/>
      <c r="E3" s="55" t="s">
        <v>65</v>
      </c>
      <c r="F3" s="56" t="s">
        <v>66</v>
      </c>
    </row>
    <row r="4" spans="2:6" ht="31.5" x14ac:dyDescent="0.2">
      <c r="B4" s="558" t="s">
        <v>67</v>
      </c>
      <c r="C4" s="560" t="s">
        <v>13</v>
      </c>
      <c r="D4" s="44" t="s">
        <v>14</v>
      </c>
      <c r="E4" s="45" t="s">
        <v>68</v>
      </c>
      <c r="F4" s="46">
        <v>0.25</v>
      </c>
    </row>
    <row r="5" spans="2:6" ht="47.25" x14ac:dyDescent="0.2">
      <c r="B5" s="559"/>
      <c r="C5" s="561"/>
      <c r="D5" s="47" t="s">
        <v>15</v>
      </c>
      <c r="E5" s="48" t="s">
        <v>69</v>
      </c>
      <c r="F5" s="49">
        <v>0.15</v>
      </c>
    </row>
    <row r="6" spans="2:6" ht="47.25" x14ac:dyDescent="0.2">
      <c r="B6" s="559"/>
      <c r="C6" s="561"/>
      <c r="D6" s="47" t="s">
        <v>16</v>
      </c>
      <c r="E6" s="48" t="s">
        <v>70</v>
      </c>
      <c r="F6" s="49">
        <v>0.1</v>
      </c>
    </row>
    <row r="7" spans="2:6" ht="63" x14ac:dyDescent="0.2">
      <c r="B7" s="559"/>
      <c r="C7" s="561" t="s">
        <v>17</v>
      </c>
      <c r="D7" s="47" t="s">
        <v>10</v>
      </c>
      <c r="E7" s="48" t="s">
        <v>71</v>
      </c>
      <c r="F7" s="49">
        <v>0.25</v>
      </c>
    </row>
    <row r="8" spans="2:6" ht="31.5" x14ac:dyDescent="0.2">
      <c r="B8" s="559"/>
      <c r="C8" s="561"/>
      <c r="D8" s="47" t="s">
        <v>9</v>
      </c>
      <c r="E8" s="48" t="s">
        <v>72</v>
      </c>
      <c r="F8" s="49">
        <v>0.15</v>
      </c>
    </row>
    <row r="9" spans="2:6" ht="47.25" x14ac:dyDescent="0.2">
      <c r="B9" s="559" t="s">
        <v>159</v>
      </c>
      <c r="C9" s="561" t="s">
        <v>18</v>
      </c>
      <c r="D9" s="47" t="s">
        <v>19</v>
      </c>
      <c r="E9" s="48" t="s">
        <v>73</v>
      </c>
      <c r="F9" s="50" t="s">
        <v>74</v>
      </c>
    </row>
    <row r="10" spans="2:6" ht="63" x14ac:dyDescent="0.2">
      <c r="B10" s="559"/>
      <c r="C10" s="561"/>
      <c r="D10" s="47" t="s">
        <v>20</v>
      </c>
      <c r="E10" s="48" t="s">
        <v>75</v>
      </c>
      <c r="F10" s="50" t="s">
        <v>74</v>
      </c>
    </row>
    <row r="11" spans="2:6" ht="47.25" x14ac:dyDescent="0.2">
      <c r="B11" s="559"/>
      <c r="C11" s="561" t="s">
        <v>21</v>
      </c>
      <c r="D11" s="47" t="s">
        <v>22</v>
      </c>
      <c r="E11" s="48" t="s">
        <v>76</v>
      </c>
      <c r="F11" s="50" t="s">
        <v>74</v>
      </c>
    </row>
    <row r="12" spans="2:6" ht="47.25" x14ac:dyDescent="0.2">
      <c r="B12" s="559"/>
      <c r="C12" s="561"/>
      <c r="D12" s="47" t="s">
        <v>23</v>
      </c>
      <c r="E12" s="48" t="s">
        <v>77</v>
      </c>
      <c r="F12" s="50" t="s">
        <v>74</v>
      </c>
    </row>
    <row r="13" spans="2:6" ht="31.5" x14ac:dyDescent="0.2">
      <c r="B13" s="559"/>
      <c r="C13" s="561" t="s">
        <v>24</v>
      </c>
      <c r="D13" s="47" t="s">
        <v>119</v>
      </c>
      <c r="E13" s="48" t="s">
        <v>122</v>
      </c>
      <c r="F13" s="50" t="s">
        <v>74</v>
      </c>
    </row>
    <row r="14" spans="2:6" ht="32.25" thickBot="1" x14ac:dyDescent="0.25">
      <c r="B14" s="562"/>
      <c r="C14" s="563"/>
      <c r="D14" s="51" t="s">
        <v>120</v>
      </c>
      <c r="E14" s="52" t="s">
        <v>121</v>
      </c>
      <c r="F14" s="53" t="s">
        <v>74</v>
      </c>
    </row>
    <row r="15" spans="2:6" ht="49.5" customHeight="1" x14ac:dyDescent="0.2">
      <c r="B15" s="555" t="s">
        <v>156</v>
      </c>
      <c r="C15" s="555"/>
      <c r="D15" s="555"/>
      <c r="E15" s="555"/>
      <c r="F15" s="555"/>
    </row>
    <row r="16" spans="2:6" ht="27" customHeight="1" x14ac:dyDescent="0.25">
      <c r="B16" s="54"/>
    </row>
  </sheetData>
  <sheetProtection algorithmName="SHA-512" hashValue="+uk6xvkisBfn4oAzJulOBxwNWymwbMXxWZjk93X5pYxFFz2Z5rFKlEMV7RBziwz+6pqlbBE48GMtLNzywUiL1A==" saltValue="zSIETMtdx4V2Fx1bI4xGpg==" spinCount="100000" sheet="1" objects="1" scenarios="1"/>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40</v>
      </c>
    </row>
    <row r="21" spans="1:1" x14ac:dyDescent="0.2">
      <c r="A21" s="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Andrea Gómez R</cp:lastModifiedBy>
  <cp:lastPrinted>2020-05-13T01:12:22Z</cp:lastPrinted>
  <dcterms:created xsi:type="dcterms:W3CDTF">2020-03-24T23:12:47Z</dcterms:created>
  <dcterms:modified xsi:type="dcterms:W3CDTF">2024-06-28T22:14:25Z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